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cfainstitute-my.sharepoint.com/personal/david_terris_cfainstitute_org/Documents/Committees/Interpretations/Benchmark Calcs/"/>
    </mc:Choice>
  </mc:AlternateContent>
  <xr:revisionPtr revIDLastSave="280" documentId="8_{03151EF7-A9C1-4754-A587-F050A063EC6E}" xr6:coauthVersionLast="47" xr6:coauthVersionMax="47" xr10:uidLastSave="{84F3A3FA-6DE9-4EA0-8EF1-53E2D021BEEC}"/>
  <bookViews>
    <workbookView xWindow="-120" yWindow="-120" windowWidth="29040" windowHeight="15720" firstSheet="5" activeTab="8" xr2:uid="{89BDB9F0-425B-4BCC-A3D7-DA8977251582}"/>
  </bookViews>
  <sheets>
    <sheet name="PLEASE READ" sheetId="18" r:id="rId1"/>
    <sheet name="Benchmark Notes" sheetId="4" r:id="rId2"/>
    <sheet name="PME BM Description Notes" sheetId="16" r:id="rId3"/>
    <sheet name="PME Calcs" sheetId="3" r:id="rId4"/>
    <sheet name="Other BM Description Notes" sheetId="17" r:id="rId5"/>
    <sheet name="Index Value Converted to Return" sheetId="15" r:id="rId6"/>
    <sheet name="Portfolio-Weighted Benchmark" sheetId="5" r:id="rId7"/>
    <sheet name="Port. Wtd Benchmark with CFs" sheetId="11" r:id="rId8"/>
    <sheet name="Port. Wtd w_Diff Blended Alloc." sheetId="12" r:id="rId9"/>
    <sheet name="Blended Monthly Weighted BM" sheetId="6" r:id="rId10"/>
    <sheet name="Blended Qtrly Weighted BM" sheetId="7" r:id="rId11"/>
    <sheet name="Benchmark Change" sheetId="8" r:id="rId12"/>
    <sheet name="Benchmark - Net of Mgt Fees" sheetId="9" r:id="rId13"/>
    <sheet name="Leveraged BM Return" sheetId="10" r:id="rId14"/>
    <sheet name="Cash Return Benchmark" sheetId="14"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5" l="1"/>
  <c r="AH9" i="3"/>
  <c r="AG6" i="3"/>
  <c r="E15" i="10" l="1"/>
  <c r="E8" i="10"/>
  <c r="E9" i="10"/>
  <c r="E10" i="10"/>
  <c r="E11" i="10"/>
  <c r="E12" i="10"/>
  <c r="E13" i="10"/>
  <c r="E14" i="10"/>
  <c r="E7" i="10"/>
  <c r="E5" i="10"/>
  <c r="E6" i="10"/>
  <c r="E4" i="10"/>
  <c r="E16" i="10" l="1"/>
  <c r="B31" i="12" l="1"/>
  <c r="C28" i="12" s="1"/>
  <c r="C27" i="12" l="1"/>
  <c r="C30" i="12"/>
  <c r="C29" i="12"/>
  <c r="C31" i="12"/>
  <c r="M6" i="12" l="1"/>
  <c r="M7" i="12"/>
  <c r="M8" i="12"/>
  <c r="M9" i="12"/>
  <c r="M10" i="12"/>
  <c r="M11" i="12"/>
  <c r="M12" i="12"/>
  <c r="M13" i="12"/>
  <c r="M14" i="12"/>
  <c r="M15" i="12"/>
  <c r="M16" i="12"/>
  <c r="M5" i="12"/>
  <c r="K6" i="12" l="1"/>
  <c r="K7" i="12"/>
  <c r="K8" i="12"/>
  <c r="K9" i="12"/>
  <c r="K10" i="12"/>
  <c r="K11" i="12"/>
  <c r="K12" i="12"/>
  <c r="K13" i="12"/>
  <c r="K14" i="12"/>
  <c r="K15" i="12"/>
  <c r="K16" i="12"/>
  <c r="K5" i="12"/>
  <c r="J17" i="12"/>
  <c r="I17" i="12"/>
  <c r="E6" i="12"/>
  <c r="E7" i="12"/>
  <c r="E8" i="12"/>
  <c r="E9" i="12"/>
  <c r="E10" i="12"/>
  <c r="E11" i="12"/>
  <c r="E12" i="12"/>
  <c r="E13" i="12"/>
  <c r="E14" i="12"/>
  <c r="E15" i="12"/>
  <c r="E16" i="12"/>
  <c r="E5" i="12"/>
  <c r="D17" i="12"/>
  <c r="C17" i="12"/>
  <c r="N9" i="12" l="1"/>
  <c r="N7" i="12"/>
  <c r="N8" i="12"/>
  <c r="N13" i="12"/>
  <c r="N5" i="12"/>
  <c r="N12" i="12"/>
  <c r="N15" i="12"/>
  <c r="N14" i="12"/>
  <c r="N16" i="12"/>
  <c r="N6" i="12"/>
  <c r="N11" i="12"/>
  <c r="N10" i="12"/>
  <c r="K17" i="12"/>
  <c r="E17" i="12"/>
  <c r="C370" i="14"/>
  <c r="C369" i="14"/>
  <c r="C368" i="14"/>
  <c r="C367" i="14"/>
  <c r="C366" i="14"/>
  <c r="C365" i="14"/>
  <c r="C364" i="14"/>
  <c r="C363" i="14"/>
  <c r="C362" i="14"/>
  <c r="C361" i="14"/>
  <c r="C360" i="14"/>
  <c r="C359" i="14"/>
  <c r="C358" i="14"/>
  <c r="C357" i="14"/>
  <c r="C356" i="14"/>
  <c r="C355" i="14"/>
  <c r="C354" i="14"/>
  <c r="C353" i="14"/>
  <c r="C352" i="14"/>
  <c r="C351" i="14"/>
  <c r="C350" i="14"/>
  <c r="C349" i="14"/>
  <c r="C348" i="14"/>
  <c r="C347" i="14"/>
  <c r="C346" i="14"/>
  <c r="C345" i="14"/>
  <c r="C344" i="14"/>
  <c r="C343" i="14"/>
  <c r="C342" i="14"/>
  <c r="C341" i="14"/>
  <c r="C340" i="14"/>
  <c r="C339" i="14"/>
  <c r="C338" i="14"/>
  <c r="C337" i="14"/>
  <c r="C336" i="14"/>
  <c r="C335" i="14"/>
  <c r="C334" i="14"/>
  <c r="C333" i="14"/>
  <c r="C332" i="14"/>
  <c r="C331" i="14"/>
  <c r="C330" i="14"/>
  <c r="C329" i="14"/>
  <c r="C328" i="14"/>
  <c r="C327" i="14"/>
  <c r="C326" i="14"/>
  <c r="C325" i="14"/>
  <c r="C324" i="14"/>
  <c r="C323" i="14"/>
  <c r="C322" i="14"/>
  <c r="C321" i="14"/>
  <c r="C320" i="14"/>
  <c r="C319" i="14"/>
  <c r="C318" i="14"/>
  <c r="C317" i="14"/>
  <c r="C316" i="14"/>
  <c r="C315" i="14"/>
  <c r="C314" i="14"/>
  <c r="C313" i="14"/>
  <c r="C312" i="14"/>
  <c r="C311" i="14"/>
  <c r="C310" i="14"/>
  <c r="C309" i="14"/>
  <c r="C308" i="14"/>
  <c r="C307" i="14"/>
  <c r="C306" i="14"/>
  <c r="C305" i="14"/>
  <c r="C304" i="14"/>
  <c r="C303" i="14"/>
  <c r="C302" i="14"/>
  <c r="C301" i="14"/>
  <c r="C300" i="14"/>
  <c r="C299" i="14"/>
  <c r="C298" i="14"/>
  <c r="C297" i="14"/>
  <c r="C296" i="14"/>
  <c r="C295" i="14"/>
  <c r="C294" i="14"/>
  <c r="C293" i="14"/>
  <c r="C292" i="14"/>
  <c r="C291" i="14"/>
  <c r="C290" i="14"/>
  <c r="C289" i="14"/>
  <c r="C288" i="14"/>
  <c r="C287" i="14"/>
  <c r="C286" i="14"/>
  <c r="C285" i="14"/>
  <c r="C284" i="14"/>
  <c r="C283" i="14"/>
  <c r="C282" i="14"/>
  <c r="C281" i="14"/>
  <c r="C280" i="14"/>
  <c r="C279" i="14"/>
  <c r="C278" i="14"/>
  <c r="C277" i="14"/>
  <c r="C276" i="14"/>
  <c r="C275" i="14"/>
  <c r="C274" i="14"/>
  <c r="C273" i="14"/>
  <c r="C272" i="14"/>
  <c r="C271" i="14"/>
  <c r="C270" i="14"/>
  <c r="C269" i="14"/>
  <c r="C268" i="14"/>
  <c r="C267" i="14"/>
  <c r="C266" i="14"/>
  <c r="C265" i="14"/>
  <c r="C264" i="14"/>
  <c r="C263" i="14"/>
  <c r="C262" i="14"/>
  <c r="C261" i="14"/>
  <c r="C260" i="14"/>
  <c r="C259" i="14"/>
  <c r="C258" i="14"/>
  <c r="C257" i="14"/>
  <c r="C256" i="14"/>
  <c r="C255" i="14"/>
  <c r="C254" i="14"/>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C129" i="14"/>
  <c r="C128" i="14"/>
  <c r="C127" i="14"/>
  <c r="C126" i="14"/>
  <c r="C125" i="14"/>
  <c r="C124" i="14"/>
  <c r="C123" i="14"/>
  <c r="C122" i="14"/>
  <c r="C121" i="14"/>
  <c r="C120" i="14"/>
  <c r="C119" i="14"/>
  <c r="C118" i="14"/>
  <c r="C117" i="14"/>
  <c r="C116" i="14"/>
  <c r="C115" i="14"/>
  <c r="C114" i="14"/>
  <c r="C113" i="14"/>
  <c r="C112" i="14"/>
  <c r="C111" i="14"/>
  <c r="C110" i="14"/>
  <c r="C109" i="14"/>
  <c r="C108" i="14"/>
  <c r="C107" i="14"/>
  <c r="C106" i="14"/>
  <c r="C105" i="14"/>
  <c r="C104" i="14"/>
  <c r="C103" i="14"/>
  <c r="C102" i="14"/>
  <c r="C101" i="14"/>
  <c r="C100" i="14"/>
  <c r="C99" i="14"/>
  <c r="C98" i="14"/>
  <c r="C97" i="14"/>
  <c r="C96" i="14"/>
  <c r="C95" i="14"/>
  <c r="C94" i="14"/>
  <c r="C93" i="14"/>
  <c r="C92" i="14"/>
  <c r="C91" i="14"/>
  <c r="C90" i="14"/>
  <c r="C89" i="14"/>
  <c r="C88" i="14"/>
  <c r="C87" i="14"/>
  <c r="C86" i="14"/>
  <c r="C85" i="14"/>
  <c r="C84" i="14"/>
  <c r="C83" i="14"/>
  <c r="C82" i="14"/>
  <c r="C81" i="14"/>
  <c r="C80" i="14"/>
  <c r="C79" i="14"/>
  <c r="C78" i="14"/>
  <c r="C77" i="14"/>
  <c r="C76" i="14"/>
  <c r="C75" i="14"/>
  <c r="C74" i="14"/>
  <c r="C73" i="14"/>
  <c r="C72" i="14"/>
  <c r="C71" i="14"/>
  <c r="C70" i="14"/>
  <c r="C69" i="14"/>
  <c r="C68" i="14"/>
  <c r="C67" i="14"/>
  <c r="C66" i="14"/>
  <c r="C65" i="14"/>
  <c r="C64" i="14"/>
  <c r="C63" i="14"/>
  <c r="C62" i="14"/>
  <c r="C61" i="14"/>
  <c r="C60" i="14"/>
  <c r="C59" i="14"/>
  <c r="C58" i="14"/>
  <c r="C57" i="14"/>
  <c r="C56" i="14"/>
  <c r="C55" i="14"/>
  <c r="C54" i="14"/>
  <c r="C53" i="14"/>
  <c r="C52" i="14"/>
  <c r="C51" i="14"/>
  <c r="C50" i="14"/>
  <c r="C49" i="14"/>
  <c r="C48" i="14"/>
  <c r="C47" i="14"/>
  <c r="C46" i="14"/>
  <c r="C45" i="14"/>
  <c r="C44" i="14"/>
  <c r="C43" i="14"/>
  <c r="C42" i="14"/>
  <c r="C41" i="14"/>
  <c r="C40" i="14"/>
  <c r="C39" i="14"/>
  <c r="C38" i="14"/>
  <c r="C37" i="14"/>
  <c r="C36" i="14"/>
  <c r="C35" i="14"/>
  <c r="C34" i="14"/>
  <c r="C33" i="14"/>
  <c r="C32" i="14"/>
  <c r="C31" i="14"/>
  <c r="C30" i="14"/>
  <c r="C29" i="14"/>
  <c r="C28" i="14"/>
  <c r="C27" i="14"/>
  <c r="C26" i="14"/>
  <c r="C25" i="14"/>
  <c r="C24" i="14"/>
  <c r="C23" i="14"/>
  <c r="C22" i="14"/>
  <c r="C21" i="14"/>
  <c r="C20" i="14"/>
  <c r="C19" i="14"/>
  <c r="C18" i="14"/>
  <c r="C17" i="14"/>
  <c r="C16" i="14"/>
  <c r="C15" i="14"/>
  <c r="C14" i="14"/>
  <c r="C13" i="14"/>
  <c r="C12" i="14"/>
  <c r="C11" i="14"/>
  <c r="C10" i="14"/>
  <c r="C9" i="14"/>
  <c r="C8" i="14"/>
  <c r="C7" i="14"/>
  <c r="C6" i="14"/>
  <c r="C5" i="14"/>
  <c r="N17" i="12" l="1"/>
  <c r="C371" i="14"/>
  <c r="C4" i="15"/>
  <c r="C15" i="15"/>
  <c r="F15" i="15" s="1"/>
  <c r="C14" i="15"/>
  <c r="F14" i="15" s="1"/>
  <c r="C13" i="15"/>
  <c r="F13" i="15" s="1"/>
  <c r="C12" i="15"/>
  <c r="F12" i="15" s="1"/>
  <c r="C11" i="15"/>
  <c r="F11" i="15" s="1"/>
  <c r="C10" i="15"/>
  <c r="F10" i="15" s="1"/>
  <c r="C9" i="15"/>
  <c r="F9" i="15" s="1"/>
  <c r="C8" i="15"/>
  <c r="F8" i="15" s="1"/>
  <c r="C7" i="15"/>
  <c r="F7" i="15" s="1"/>
  <c r="C6" i="15"/>
  <c r="F6" i="15" s="1"/>
  <c r="C5" i="15"/>
  <c r="F5" i="15" s="1"/>
  <c r="H10" i="9"/>
  <c r="H11" i="9"/>
  <c r="H12" i="9"/>
  <c r="H13" i="9"/>
  <c r="H14" i="9"/>
  <c r="I14" i="9" s="1"/>
  <c r="H15" i="9"/>
  <c r="H16" i="9"/>
  <c r="H17" i="9"/>
  <c r="H18" i="9"/>
  <c r="H19" i="9"/>
  <c r="H20" i="9"/>
  <c r="H9" i="9"/>
  <c r="G21" i="9"/>
  <c r="F16" i="15" l="1"/>
  <c r="C16" i="15"/>
  <c r="I12" i="9"/>
  <c r="I15" i="9"/>
  <c r="I11" i="9"/>
  <c r="I13" i="9"/>
  <c r="I10" i="9"/>
  <c r="I19" i="9"/>
  <c r="I18" i="9"/>
  <c r="I17" i="9"/>
  <c r="I16" i="9"/>
  <c r="I9" i="9"/>
  <c r="I20" i="9"/>
  <c r="I21" i="9" l="1"/>
  <c r="H57" i="11"/>
  <c r="H64" i="11" s="1"/>
  <c r="H66" i="11" s="1"/>
  <c r="H48" i="11"/>
  <c r="I48" i="11" s="1"/>
  <c r="J48" i="11" s="1"/>
  <c r="K48" i="11" s="1"/>
  <c r="L48" i="11" s="1"/>
  <c r="M48" i="11" s="1"/>
  <c r="N48" i="11" s="1"/>
  <c r="C66" i="11"/>
  <c r="D66" i="11"/>
  <c r="E66" i="11"/>
  <c r="F66" i="11"/>
  <c r="G66" i="11"/>
  <c r="I66" i="11"/>
  <c r="J66" i="11"/>
  <c r="K66" i="11"/>
  <c r="L66" i="11"/>
  <c r="M66" i="11"/>
  <c r="N66" i="11"/>
  <c r="B66" i="11"/>
  <c r="D28" i="11"/>
  <c r="E28" i="11"/>
  <c r="F28" i="11"/>
  <c r="G28" i="11"/>
  <c r="H28" i="11"/>
  <c r="I28" i="11"/>
  <c r="J28" i="11"/>
  <c r="K28" i="11"/>
  <c r="L28" i="11"/>
  <c r="M28" i="11"/>
  <c r="N28" i="11"/>
  <c r="B28" i="11"/>
  <c r="C20" i="11"/>
  <c r="C27" i="11" s="1"/>
  <c r="C28" i="11" s="1"/>
  <c r="B89" i="11"/>
  <c r="B88" i="11"/>
  <c r="B87" i="11"/>
  <c r="B86" i="11"/>
  <c r="B85" i="11"/>
  <c r="B84" i="11"/>
  <c r="O72" i="11"/>
  <c r="O71" i="11"/>
  <c r="O70" i="11"/>
  <c r="N45" i="11"/>
  <c r="M45" i="11"/>
  <c r="L45" i="11"/>
  <c r="K45" i="11"/>
  <c r="J45" i="11"/>
  <c r="I45" i="11"/>
  <c r="H45" i="11"/>
  <c r="G45" i="11"/>
  <c r="F45" i="11"/>
  <c r="E45" i="11"/>
  <c r="D45" i="11"/>
  <c r="C45" i="11"/>
  <c r="B45" i="11"/>
  <c r="O34" i="11"/>
  <c r="O33" i="11"/>
  <c r="O32" i="11"/>
  <c r="N7" i="11"/>
  <c r="M7" i="11"/>
  <c r="L7" i="11"/>
  <c r="K7" i="11"/>
  <c r="J7" i="11"/>
  <c r="I7" i="11"/>
  <c r="H7" i="11"/>
  <c r="G7" i="11"/>
  <c r="F7" i="11"/>
  <c r="E7" i="11"/>
  <c r="D7" i="11"/>
  <c r="C7" i="11"/>
  <c r="B7" i="11"/>
  <c r="G17" i="8"/>
  <c r="E34" i="5" a="1"/>
  <c r="E34" i="5" s="1"/>
  <c r="F34" i="5" a="1"/>
  <c r="F34" i="5" s="1"/>
  <c r="G34" i="5" a="1"/>
  <c r="G34" i="5"/>
  <c r="N34" i="5" a="1"/>
  <c r="N34" i="5"/>
  <c r="C34" i="5" a="1"/>
  <c r="C34" i="5" s="1"/>
  <c r="I17" i="5" a="1"/>
  <c r="I17" i="5"/>
  <c r="J17" i="5" a="1"/>
  <c r="J17" i="5" s="1"/>
  <c r="K17" i="5" a="1"/>
  <c r="K17" i="5" s="1"/>
  <c r="N17" i="5" a="1"/>
  <c r="N17" i="5"/>
  <c r="X26" i="3"/>
  <c r="X27" i="3"/>
  <c r="X28" i="3"/>
  <c r="X29" i="3"/>
  <c r="X30" i="3"/>
  <c r="X31" i="3"/>
  <c r="X32" i="3"/>
  <c r="X33" i="3"/>
  <c r="X34" i="3"/>
  <c r="X35" i="3"/>
  <c r="X25" i="3"/>
  <c r="D16" i="10"/>
  <c r="D18" i="10" s="1"/>
  <c r="C16" i="10"/>
  <c r="C18" i="10" s="1"/>
  <c r="B16" i="10"/>
  <c r="B21" i="9"/>
  <c r="C20" i="9"/>
  <c r="C19" i="9"/>
  <c r="C18" i="9"/>
  <c r="C17" i="9"/>
  <c r="C16" i="9"/>
  <c r="C15" i="9"/>
  <c r="C14" i="9"/>
  <c r="C13" i="9"/>
  <c r="C12" i="9"/>
  <c r="C11" i="9"/>
  <c r="C10" i="9"/>
  <c r="C9" i="9"/>
  <c r="C16" i="8"/>
  <c r="C22" i="7"/>
  <c r="B22" i="7"/>
  <c r="C17" i="7"/>
  <c r="B17" i="7"/>
  <c r="C12" i="7"/>
  <c r="B12" i="7"/>
  <c r="C7" i="7"/>
  <c r="B7" i="7"/>
  <c r="D7" i="7" s="1"/>
  <c r="C16" i="6"/>
  <c r="B16" i="6"/>
  <c r="D15" i="6"/>
  <c r="D14" i="6"/>
  <c r="D13" i="6"/>
  <c r="D12" i="6"/>
  <c r="D11" i="6"/>
  <c r="D10" i="6"/>
  <c r="D9" i="6"/>
  <c r="D8" i="6"/>
  <c r="D7" i="6"/>
  <c r="D6" i="6"/>
  <c r="D16" i="6" s="1"/>
  <c r="D5" i="6"/>
  <c r="D4" i="6"/>
  <c r="B47" i="5"/>
  <c r="B46" i="5"/>
  <c r="B45" i="5"/>
  <c r="B44" i="5"/>
  <c r="B43" i="5"/>
  <c r="B42" i="5"/>
  <c r="O30" i="5"/>
  <c r="O29" i="5"/>
  <c r="O28" i="5"/>
  <c r="N24" i="5"/>
  <c r="M24" i="5"/>
  <c r="N33" i="5" s="1"/>
  <c r="L24" i="5"/>
  <c r="M33" i="5" s="1"/>
  <c r="K24" i="5"/>
  <c r="L33" i="5" s="1"/>
  <c r="J24" i="5"/>
  <c r="K33" i="5" s="1"/>
  <c r="I24" i="5"/>
  <c r="J33" i="5" s="1"/>
  <c r="H24" i="5"/>
  <c r="I33" i="5" s="1"/>
  <c r="G24" i="5"/>
  <c r="H33" i="5" s="1"/>
  <c r="F24" i="5"/>
  <c r="G33" i="5" s="1"/>
  <c r="E24" i="5"/>
  <c r="F33" i="5" s="1"/>
  <c r="D24" i="5"/>
  <c r="E33" i="5" s="1"/>
  <c r="C24" i="5"/>
  <c r="D33" i="5" s="1"/>
  <c r="B24" i="5"/>
  <c r="C33" i="5" s="1"/>
  <c r="N16" i="5"/>
  <c r="M16" i="5"/>
  <c r="C16" i="5"/>
  <c r="O13" i="5"/>
  <c r="O12" i="5"/>
  <c r="O11" i="5"/>
  <c r="N7" i="5"/>
  <c r="M7" i="5"/>
  <c r="L7" i="5"/>
  <c r="M17" i="5" s="1" a="1"/>
  <c r="M17" i="5" s="1"/>
  <c r="K7" i="5"/>
  <c r="L16" i="5" s="1"/>
  <c r="J7" i="5"/>
  <c r="K16" i="5" s="1"/>
  <c r="I7" i="5"/>
  <c r="J16" i="5" s="1"/>
  <c r="H7" i="5"/>
  <c r="I16" i="5" s="1"/>
  <c r="G7" i="5"/>
  <c r="H17" i="5" s="1" a="1"/>
  <c r="H17" i="5" s="1"/>
  <c r="F7" i="5"/>
  <c r="G16" i="5" s="1"/>
  <c r="E7" i="5"/>
  <c r="F17" i="5" s="1" a="1"/>
  <c r="F17" i="5" s="1"/>
  <c r="D7" i="5"/>
  <c r="E17" i="5" s="1" a="1"/>
  <c r="E17" i="5" s="1"/>
  <c r="C7" i="5"/>
  <c r="D17" i="5" s="1" a="1"/>
  <c r="D17" i="5" s="1"/>
  <c r="B7" i="5"/>
  <c r="AM13" i="3"/>
  <c r="AG13" i="3"/>
  <c r="AL13" i="3" s="1"/>
  <c r="AH13" i="3"/>
  <c r="X13" i="3"/>
  <c r="I13" i="3"/>
  <c r="E13" i="3"/>
  <c r="M13" i="3"/>
  <c r="L13" i="3"/>
  <c r="R13" i="3"/>
  <c r="W13" i="3" s="1"/>
  <c r="AA13" i="3"/>
  <c r="AH34" i="3"/>
  <c r="AM34" i="3"/>
  <c r="L34" i="3"/>
  <c r="R34" i="3"/>
  <c r="W34" i="3" s="1"/>
  <c r="AA34" i="3"/>
  <c r="AG34" i="3"/>
  <c r="AL34" i="3" s="1"/>
  <c r="I34" i="3"/>
  <c r="E34" i="3"/>
  <c r="M34" i="3"/>
  <c r="H38" i="3"/>
  <c r="C36" i="3"/>
  <c r="B36" i="3"/>
  <c r="AN35" i="3"/>
  <c r="AM35" i="3"/>
  <c r="AI35" i="3"/>
  <c r="AH35" i="3"/>
  <c r="AG35" i="3"/>
  <c r="AL35" i="3" s="1"/>
  <c r="AA35" i="3"/>
  <c r="T35" i="3"/>
  <c r="R35" i="3"/>
  <c r="W35" i="3" s="1"/>
  <c r="M35" i="3"/>
  <c r="L35" i="3"/>
  <c r="I35" i="3"/>
  <c r="E35" i="3"/>
  <c r="AM33" i="3"/>
  <c r="AH33" i="3"/>
  <c r="AG33" i="3"/>
  <c r="AL33" i="3" s="1"/>
  <c r="AA33" i="3"/>
  <c r="R33" i="3"/>
  <c r="W33" i="3" s="1"/>
  <c r="M33" i="3"/>
  <c r="L33" i="3"/>
  <c r="I33" i="3"/>
  <c r="E33" i="3"/>
  <c r="AM32" i="3"/>
  <c r="AH32" i="3"/>
  <c r="AG32" i="3"/>
  <c r="AL32" i="3" s="1"/>
  <c r="AA32" i="3"/>
  <c r="R32" i="3"/>
  <c r="W32" i="3" s="1"/>
  <c r="M32" i="3"/>
  <c r="L32" i="3"/>
  <c r="I32" i="3"/>
  <c r="E32" i="3"/>
  <c r="AM31" i="3"/>
  <c r="AH31" i="3"/>
  <c r="AG31" i="3"/>
  <c r="AL31" i="3" s="1"/>
  <c r="AO31" i="3" s="1"/>
  <c r="AA31" i="3"/>
  <c r="R31" i="3"/>
  <c r="W31" i="3" s="1"/>
  <c r="M31" i="3"/>
  <c r="L31" i="3"/>
  <c r="I31" i="3"/>
  <c r="E31" i="3"/>
  <c r="AM30" i="3"/>
  <c r="AH30" i="3"/>
  <c r="AG30" i="3"/>
  <c r="AL30" i="3" s="1"/>
  <c r="AA30" i="3"/>
  <c r="R30" i="3"/>
  <c r="W30" i="3" s="1"/>
  <c r="M30" i="3"/>
  <c r="L30" i="3"/>
  <c r="O30" i="3" s="1"/>
  <c r="I30" i="3"/>
  <c r="E30" i="3"/>
  <c r="AM29" i="3"/>
  <c r="AH29" i="3"/>
  <c r="AG29" i="3"/>
  <c r="AL29" i="3" s="1"/>
  <c r="AA29" i="3"/>
  <c r="R29" i="3"/>
  <c r="W29" i="3" s="1"/>
  <c r="M29" i="3"/>
  <c r="L29" i="3"/>
  <c r="I29" i="3"/>
  <c r="E29" i="3"/>
  <c r="AM28" i="3"/>
  <c r="AH28" i="3"/>
  <c r="AG28" i="3"/>
  <c r="AL28" i="3" s="1"/>
  <c r="AA28" i="3"/>
  <c r="R28" i="3"/>
  <c r="W28" i="3" s="1"/>
  <c r="M28" i="3"/>
  <c r="L28" i="3"/>
  <c r="I28" i="3"/>
  <c r="E28" i="3"/>
  <c r="AM27" i="3"/>
  <c r="AH27" i="3"/>
  <c r="AG27" i="3"/>
  <c r="AL27" i="3" s="1"/>
  <c r="AO27" i="3" s="1"/>
  <c r="AA27" i="3"/>
  <c r="R27" i="3"/>
  <c r="W27" i="3" s="1"/>
  <c r="M27" i="3"/>
  <c r="L27" i="3"/>
  <c r="I27" i="3"/>
  <c r="E27" i="3"/>
  <c r="AM26" i="3"/>
  <c r="AH26" i="3"/>
  <c r="AG26" i="3"/>
  <c r="AL26" i="3" s="1"/>
  <c r="AC26" i="3"/>
  <c r="AC27" i="3" s="1"/>
  <c r="AB26" i="3"/>
  <c r="AA26" i="3"/>
  <c r="R26" i="3"/>
  <c r="W26" i="3" s="1"/>
  <c r="M26" i="3"/>
  <c r="L26" i="3"/>
  <c r="I26" i="3"/>
  <c r="E26" i="3"/>
  <c r="AM25" i="3"/>
  <c r="AL25" i="3"/>
  <c r="AH25" i="3"/>
  <c r="AG25" i="3"/>
  <c r="AA25" i="3"/>
  <c r="AD25" i="3" s="1"/>
  <c r="R25" i="3"/>
  <c r="W25" i="3" s="1"/>
  <c r="M25" i="3"/>
  <c r="L25" i="3"/>
  <c r="E25" i="3"/>
  <c r="H17" i="3"/>
  <c r="C15" i="3"/>
  <c r="B15" i="3"/>
  <c r="AN14" i="3"/>
  <c r="AM14" i="3"/>
  <c r="AI14" i="3"/>
  <c r="AH14" i="3"/>
  <c r="AG14" i="3"/>
  <c r="AL14" i="3" s="1"/>
  <c r="AA14" i="3"/>
  <c r="X14" i="3"/>
  <c r="T14" i="3"/>
  <c r="R14" i="3"/>
  <c r="W14" i="3" s="1"/>
  <c r="M14" i="3"/>
  <c r="L14" i="3"/>
  <c r="I14" i="3"/>
  <c r="E14" i="3"/>
  <c r="AM12" i="3"/>
  <c r="AH12" i="3"/>
  <c r="AG12" i="3"/>
  <c r="AL12" i="3" s="1"/>
  <c r="AA12" i="3"/>
  <c r="X12" i="3"/>
  <c r="R12" i="3"/>
  <c r="W12" i="3" s="1"/>
  <c r="M12" i="3"/>
  <c r="L12" i="3"/>
  <c r="I12" i="3"/>
  <c r="E12" i="3"/>
  <c r="AM11" i="3"/>
  <c r="AH11" i="3"/>
  <c r="AG11" i="3"/>
  <c r="AL11" i="3" s="1"/>
  <c r="AA11" i="3"/>
  <c r="X11" i="3"/>
  <c r="R11" i="3"/>
  <c r="W11" i="3" s="1"/>
  <c r="M11" i="3"/>
  <c r="L11" i="3"/>
  <c r="I11" i="3"/>
  <c r="E11" i="3"/>
  <c r="AM10" i="3"/>
  <c r="AH10" i="3"/>
  <c r="AG10" i="3"/>
  <c r="AL10" i="3" s="1"/>
  <c r="AA10" i="3"/>
  <c r="X10" i="3"/>
  <c r="R10" i="3"/>
  <c r="W10" i="3" s="1"/>
  <c r="M10" i="3"/>
  <c r="L10" i="3"/>
  <c r="I10" i="3"/>
  <c r="E10" i="3"/>
  <c r="AM9" i="3"/>
  <c r="AG9" i="3"/>
  <c r="AL9" i="3" s="1"/>
  <c r="AA9" i="3"/>
  <c r="X9" i="3"/>
  <c r="R9" i="3"/>
  <c r="W9" i="3" s="1"/>
  <c r="M9" i="3"/>
  <c r="L9" i="3"/>
  <c r="I9" i="3"/>
  <c r="E9" i="3"/>
  <c r="AM8" i="3"/>
  <c r="AH8" i="3"/>
  <c r="AG8" i="3"/>
  <c r="AL8" i="3" s="1"/>
  <c r="AO8" i="3" s="1"/>
  <c r="AA8" i="3"/>
  <c r="X8" i="3"/>
  <c r="R8" i="3"/>
  <c r="W8" i="3" s="1"/>
  <c r="M8" i="3"/>
  <c r="L8" i="3"/>
  <c r="I8" i="3"/>
  <c r="E8" i="3"/>
  <c r="AM7" i="3"/>
  <c r="AH7" i="3"/>
  <c r="AG7" i="3"/>
  <c r="AL7" i="3" s="1"/>
  <c r="AA7" i="3"/>
  <c r="X7" i="3"/>
  <c r="R7" i="3"/>
  <c r="W7" i="3" s="1"/>
  <c r="M7" i="3"/>
  <c r="L7" i="3"/>
  <c r="I7" i="3"/>
  <c r="E7" i="3"/>
  <c r="AM6" i="3"/>
  <c r="AH6" i="3"/>
  <c r="AL6" i="3"/>
  <c r="AA6" i="3"/>
  <c r="X6" i="3"/>
  <c r="R6" i="3"/>
  <c r="W6" i="3" s="1"/>
  <c r="M6" i="3"/>
  <c r="L6" i="3"/>
  <c r="I6" i="3"/>
  <c r="E6" i="3"/>
  <c r="AM5" i="3"/>
  <c r="AH5" i="3"/>
  <c r="AG5" i="3"/>
  <c r="AL5" i="3" s="1"/>
  <c r="AC5" i="3"/>
  <c r="AB6" i="3" s="1"/>
  <c r="AB5" i="3"/>
  <c r="AA5" i="3"/>
  <c r="X5" i="3"/>
  <c r="R5" i="3"/>
  <c r="W5" i="3" s="1"/>
  <c r="M5" i="3"/>
  <c r="L5" i="3"/>
  <c r="I5" i="3"/>
  <c r="E5" i="3"/>
  <c r="AM4" i="3"/>
  <c r="AL4" i="3"/>
  <c r="AH4" i="3"/>
  <c r="AG4" i="3"/>
  <c r="AA4" i="3"/>
  <c r="AD4" i="3" s="1"/>
  <c r="X4" i="3"/>
  <c r="R4" i="3"/>
  <c r="W4" i="3" s="1"/>
  <c r="M4" i="3"/>
  <c r="L4" i="3"/>
  <c r="E4" i="3"/>
  <c r="N25" i="3" l="1"/>
  <c r="D34" i="5" a="1"/>
  <c r="D34" i="5" s="1"/>
  <c r="M34" i="5" a="1"/>
  <c r="M34" i="5" s="1"/>
  <c r="L34" i="5" a="1"/>
  <c r="L34" i="5" s="1"/>
  <c r="G17" i="5" a="1"/>
  <c r="G17" i="5" s="1"/>
  <c r="K34" i="5" a="1"/>
  <c r="K34" i="5" s="1"/>
  <c r="J34" i="5" a="1"/>
  <c r="J34" i="5" s="1"/>
  <c r="I34" i="5" a="1"/>
  <c r="I34" i="5" s="1"/>
  <c r="L17" i="5" a="1"/>
  <c r="L17" i="5" s="1"/>
  <c r="B37" i="5"/>
  <c r="C17" i="5" a="1"/>
  <c r="C17" i="5" s="1"/>
  <c r="H34" i="5" a="1"/>
  <c r="H34" i="5" s="1"/>
  <c r="O11" i="3"/>
  <c r="O32" i="3"/>
  <c r="AO13" i="3"/>
  <c r="AO33" i="3"/>
  <c r="AD5" i="3"/>
  <c r="O10" i="3"/>
  <c r="O9" i="3"/>
  <c r="AO35" i="3"/>
  <c r="AO5" i="3"/>
  <c r="AO11" i="3"/>
  <c r="O13" i="3"/>
  <c r="O33" i="3"/>
  <c r="AO6" i="3"/>
  <c r="O34" i="3"/>
  <c r="O31" i="3"/>
  <c r="AO28" i="3"/>
  <c r="AO34" i="3"/>
  <c r="D17" i="9"/>
  <c r="D18" i="9"/>
  <c r="D19" i="9"/>
  <c r="D20" i="9"/>
  <c r="D9" i="9"/>
  <c r="D10" i="9"/>
  <c r="D11" i="9"/>
  <c r="D12" i="9"/>
  <c r="D13" i="9"/>
  <c r="D15" i="9"/>
  <c r="D16" i="9"/>
  <c r="D14" i="9"/>
  <c r="B18" i="10"/>
  <c r="E18" i="10" s="1"/>
  <c r="B24" i="7"/>
  <c r="D22" i="7"/>
  <c r="C24" i="7"/>
  <c r="D12" i="7"/>
  <c r="D17" i="7"/>
  <c r="G76" i="11" a="1"/>
  <c r="G76" i="11" s="1"/>
  <c r="G75" i="11"/>
  <c r="H76" i="11" a="1"/>
  <c r="H76" i="11" s="1"/>
  <c r="H75" i="11"/>
  <c r="I75" i="11"/>
  <c r="I76" i="11" a="1"/>
  <c r="I76" i="11" s="1"/>
  <c r="C37" i="11"/>
  <c r="M75" i="11"/>
  <c r="M76" i="11" a="1"/>
  <c r="M76" i="11" s="1"/>
  <c r="N76" i="11" a="1"/>
  <c r="N76" i="11" s="1"/>
  <c r="N75" i="11"/>
  <c r="J76" i="11" a="1"/>
  <c r="J76" i="11" s="1"/>
  <c r="J75" i="11"/>
  <c r="K76" i="11" a="1"/>
  <c r="K76" i="11" s="1"/>
  <c r="K75" i="11"/>
  <c r="L75" i="11"/>
  <c r="L76" i="11" a="1"/>
  <c r="L76" i="11" s="1"/>
  <c r="C76" i="11" a="1"/>
  <c r="C76" i="11" s="1"/>
  <c r="C75" i="11"/>
  <c r="D76" i="11" a="1"/>
  <c r="D76" i="11" s="1"/>
  <c r="D75" i="11"/>
  <c r="E76" i="11" a="1"/>
  <c r="E76" i="11" s="1"/>
  <c r="E75" i="11"/>
  <c r="F76" i="11" a="1"/>
  <c r="F76" i="11" s="1"/>
  <c r="F75" i="11"/>
  <c r="F37" i="11"/>
  <c r="J38" i="11" a="1"/>
  <c r="J38" i="11" s="1"/>
  <c r="M38" i="11" a="1"/>
  <c r="M38" i="11" s="1"/>
  <c r="L37" i="11"/>
  <c r="I38" i="11" a="1"/>
  <c r="I38" i="11" s="1"/>
  <c r="N38" i="11" a="1"/>
  <c r="N38" i="11" s="1"/>
  <c r="G37" i="11"/>
  <c r="H37" i="11"/>
  <c r="G38" i="11" a="1"/>
  <c r="G38" i="11" s="1"/>
  <c r="L38" i="11" a="1"/>
  <c r="L38" i="11" s="1"/>
  <c r="K37" i="11"/>
  <c r="J37" i="11"/>
  <c r="D37" i="11"/>
  <c r="E37" i="11"/>
  <c r="C38" i="11" a="1"/>
  <c r="C38" i="11" s="1"/>
  <c r="H38" i="11" a="1"/>
  <c r="H38" i="11" s="1"/>
  <c r="N37" i="11"/>
  <c r="F38" i="11" a="1"/>
  <c r="F38" i="11" s="1"/>
  <c r="E38" i="11" a="1"/>
  <c r="E38" i="11" s="1"/>
  <c r="D38" i="11" a="1"/>
  <c r="D38" i="11" s="1"/>
  <c r="K38" i="11" a="1"/>
  <c r="K38" i="11" s="1"/>
  <c r="C79" i="11"/>
  <c r="M37" i="11"/>
  <c r="I37" i="11"/>
  <c r="E79" i="11"/>
  <c r="N79" i="11"/>
  <c r="F79" i="11"/>
  <c r="G79" i="11"/>
  <c r="H80" i="11" s="1"/>
  <c r="H79" i="11"/>
  <c r="I79" i="11"/>
  <c r="J79" i="11"/>
  <c r="K80" i="11" s="1"/>
  <c r="K79" i="11"/>
  <c r="L79" i="11"/>
  <c r="M79" i="11"/>
  <c r="B79" i="11"/>
  <c r="C80" i="11" s="1"/>
  <c r="D79" i="11"/>
  <c r="E80" i="11" s="1"/>
  <c r="B90" i="11"/>
  <c r="C84" i="11" s="1"/>
  <c r="B48" i="5"/>
  <c r="C47" i="5" s="1"/>
  <c r="L37" i="5"/>
  <c r="M38" i="5" s="1"/>
  <c r="M37" i="5"/>
  <c r="N38" i="5" s="1"/>
  <c r="N37" i="5"/>
  <c r="K37" i="5"/>
  <c r="L38" i="5" s="1"/>
  <c r="E37" i="5"/>
  <c r="F38" i="5" s="1"/>
  <c r="C46" i="5"/>
  <c r="F16" i="5"/>
  <c r="H16" i="5"/>
  <c r="C38" i="5"/>
  <c r="G37" i="5"/>
  <c r="H38" i="5" s="1"/>
  <c r="O33" i="5"/>
  <c r="C42" i="5"/>
  <c r="C45" i="5"/>
  <c r="C44" i="5"/>
  <c r="C43" i="5"/>
  <c r="H37" i="5"/>
  <c r="I38" i="5" s="1"/>
  <c r="D16" i="5"/>
  <c r="I37" i="5"/>
  <c r="J38" i="5" s="1"/>
  <c r="F37" i="5"/>
  <c r="G38" i="5" s="1"/>
  <c r="E16" i="5"/>
  <c r="J37" i="5"/>
  <c r="K38" i="5" s="1"/>
  <c r="C37" i="5"/>
  <c r="D37" i="5"/>
  <c r="E38" i="5" s="1"/>
  <c r="N26" i="3"/>
  <c r="N27" i="3" s="1"/>
  <c r="N28" i="3" s="1"/>
  <c r="N29" i="3" s="1"/>
  <c r="N30" i="3" s="1"/>
  <c r="N31" i="3" s="1"/>
  <c r="N32" i="3" s="1"/>
  <c r="N33" i="3" s="1"/>
  <c r="N34" i="3" s="1"/>
  <c r="N35" i="3" s="1"/>
  <c r="O26" i="3"/>
  <c r="AO30" i="3"/>
  <c r="AO29" i="3"/>
  <c r="AO7" i="3"/>
  <c r="AC6" i="3"/>
  <c r="AM15" i="3"/>
  <c r="O5" i="3"/>
  <c r="O6" i="3"/>
  <c r="O8" i="3"/>
  <c r="N4" i="3"/>
  <c r="N5" i="3" s="1"/>
  <c r="N6" i="3" s="1"/>
  <c r="N7" i="3" s="1"/>
  <c r="N8" i="3" s="1"/>
  <c r="N9" i="3" s="1"/>
  <c r="N10" i="3" s="1"/>
  <c r="N11" i="3" s="1"/>
  <c r="N12" i="3" s="1"/>
  <c r="O7" i="3"/>
  <c r="O29" i="3"/>
  <c r="AO32" i="3"/>
  <c r="M15" i="3"/>
  <c r="AO9" i="3"/>
  <c r="O12" i="3"/>
  <c r="B38" i="3"/>
  <c r="O27" i="3"/>
  <c r="AG36" i="3"/>
  <c r="AH36" i="3"/>
  <c r="B17" i="3"/>
  <c r="B39" i="3"/>
  <c r="X15" i="3"/>
  <c r="L36" i="3"/>
  <c r="X36" i="3"/>
  <c r="M36" i="3"/>
  <c r="AG15" i="3"/>
  <c r="AO12" i="3"/>
  <c r="AD26" i="3"/>
  <c r="B18" i="3"/>
  <c r="L15" i="3"/>
  <c r="AB27" i="3"/>
  <c r="AD27" i="3" s="1"/>
  <c r="O4" i="3"/>
  <c r="AM36" i="3"/>
  <c r="AO14" i="3"/>
  <c r="AL17" i="3" s="1"/>
  <c r="AH15" i="3"/>
  <c r="AD6" i="3"/>
  <c r="AO10" i="3"/>
  <c r="O28" i="3"/>
  <c r="AL15" i="3"/>
  <c r="AB28" i="3"/>
  <c r="AD28" i="3" s="1"/>
  <c r="AC28" i="3"/>
  <c r="AL36" i="3"/>
  <c r="W15" i="3"/>
  <c r="O25" i="3"/>
  <c r="AO25" i="3"/>
  <c r="AA36" i="3"/>
  <c r="AO26" i="3"/>
  <c r="R36" i="3"/>
  <c r="AA15" i="3"/>
  <c r="AO4" i="3"/>
  <c r="R15" i="3"/>
  <c r="AG38" i="3" l="1"/>
  <c r="O16" i="5"/>
  <c r="O35" i="3"/>
  <c r="L38" i="3" s="1"/>
  <c r="L39" i="3" s="1"/>
  <c r="N13" i="3"/>
  <c r="N14" i="3" s="1"/>
  <c r="O14" i="3" s="1"/>
  <c r="L17" i="3" s="1"/>
  <c r="L18" i="3" s="1"/>
  <c r="D21" i="9"/>
  <c r="D24" i="7"/>
  <c r="F80" i="11"/>
  <c r="J80" i="11"/>
  <c r="M80" i="11"/>
  <c r="D80" i="11"/>
  <c r="G80" i="11"/>
  <c r="L80" i="11"/>
  <c r="N80" i="11"/>
  <c r="I80" i="11"/>
  <c r="O76" i="11"/>
  <c r="O38" i="11"/>
  <c r="O75" i="11"/>
  <c r="C87" i="11"/>
  <c r="C85" i="11"/>
  <c r="C89" i="11"/>
  <c r="O37" i="11"/>
  <c r="C88" i="11"/>
  <c r="C86" i="11"/>
  <c r="D38" i="5"/>
  <c r="O38" i="5" s="1"/>
  <c r="C48" i="5"/>
  <c r="X17" i="3"/>
  <c r="S4" i="3" s="1"/>
  <c r="AC7" i="3"/>
  <c r="AB7" i="3"/>
  <c r="AD7" i="3" s="1"/>
  <c r="AG17" i="3"/>
  <c r="W36" i="3"/>
  <c r="X38" i="3" s="1"/>
  <c r="AL38" i="3"/>
  <c r="AB29" i="3"/>
  <c r="AD29" i="3" s="1"/>
  <c r="AC29" i="3"/>
  <c r="S32" i="3" l="1"/>
  <c r="U32" i="3" s="1"/>
  <c r="S25" i="3"/>
  <c r="S26" i="3"/>
  <c r="U26" i="3" s="1"/>
  <c r="S33" i="3"/>
  <c r="U33" i="3" s="1"/>
  <c r="S34" i="3"/>
  <c r="U34" i="3" s="1"/>
  <c r="S35" i="3"/>
  <c r="U35" i="3" s="1"/>
  <c r="S27" i="3"/>
  <c r="U27" i="3" s="1"/>
  <c r="S28" i="3"/>
  <c r="U28" i="3" s="1"/>
  <c r="S29" i="3"/>
  <c r="U29" i="3" s="1"/>
  <c r="S30" i="3"/>
  <c r="U30" i="3" s="1"/>
  <c r="S31" i="3"/>
  <c r="U31" i="3" s="1"/>
  <c r="O80" i="11"/>
  <c r="C90" i="11"/>
  <c r="R19" i="3"/>
  <c r="S6" i="3"/>
  <c r="U6" i="3" s="1"/>
  <c r="S5" i="3"/>
  <c r="U5" i="3" s="1"/>
  <c r="S9" i="3"/>
  <c r="U9" i="3" s="1"/>
  <c r="S8" i="3"/>
  <c r="U8" i="3" s="1"/>
  <c r="S12" i="3"/>
  <c r="U12" i="3" s="1"/>
  <c r="S11" i="3"/>
  <c r="U11" i="3" s="1"/>
  <c r="S7" i="3"/>
  <c r="U7" i="3" s="1"/>
  <c r="S14" i="3"/>
  <c r="U14" i="3" s="1"/>
  <c r="S10" i="3"/>
  <c r="U10" i="3" s="1"/>
  <c r="S13" i="3"/>
  <c r="U13" i="3" s="1"/>
  <c r="AC8" i="3"/>
  <c r="AC9" i="3" s="1"/>
  <c r="AB8" i="3"/>
  <c r="AD8" i="3" s="1"/>
  <c r="AB30" i="3"/>
  <c r="AD30" i="3" s="1"/>
  <c r="AC30" i="3"/>
  <c r="U4" i="3"/>
  <c r="S36" i="3" l="1"/>
  <c r="S15" i="3"/>
  <c r="U25" i="3"/>
  <c r="R38" i="3" s="1"/>
  <c r="R39" i="3" s="1"/>
  <c r="R17" i="3"/>
  <c r="R18" i="3" s="1"/>
  <c r="AB9" i="3"/>
  <c r="AD9" i="3" s="1"/>
  <c r="AB31" i="3"/>
  <c r="AC31" i="3"/>
  <c r="AC10" i="3" l="1"/>
  <c r="AB10" i="3"/>
  <c r="AD10" i="3" s="1"/>
  <c r="AD31" i="3"/>
  <c r="AB32" i="3"/>
  <c r="AD32" i="3" s="1"/>
  <c r="AC32" i="3"/>
  <c r="AC11" i="3" l="1"/>
  <c r="AB11" i="3"/>
  <c r="AB33" i="3"/>
  <c r="AD33" i="3" s="1"/>
  <c r="AC33" i="3"/>
  <c r="AC34" i="3" l="1"/>
  <c r="AB34" i="3"/>
  <c r="AD34" i="3" s="1"/>
  <c r="AD11" i="3"/>
  <c r="AC12" i="3"/>
  <c r="AB12" i="3"/>
  <c r="AD12" i="3" s="1"/>
  <c r="AC13" i="3" l="1"/>
  <c r="AB13" i="3"/>
  <c r="AD13" i="3" s="1"/>
  <c r="AB35" i="3"/>
  <c r="AC35" i="3"/>
  <c r="AD35" i="3" s="1"/>
  <c r="AA38" i="3" s="1"/>
  <c r="AA39" i="3" s="1"/>
  <c r="AB36" i="3"/>
  <c r="AB14" i="3" l="1"/>
  <c r="AB15" i="3" s="1"/>
  <c r="AC14" i="3"/>
  <c r="AD14" i="3" l="1"/>
  <c r="AA17" i="3" s="1"/>
  <c r="AA18"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Terris</author>
  </authors>
  <commentList>
    <comment ref="N30" authorId="0" shapeId="0" xr:uid="{B52B6341-4C4D-49EE-B239-A05027C91445}">
      <text>
        <r>
          <rPr>
            <sz val="9"/>
            <color indexed="81"/>
            <rFont val="Tahoma"/>
            <family val="2"/>
          </rPr>
          <t>Large distributions can cause the LN methodology to result in a negative NAV</t>
        </r>
      </text>
    </comment>
    <comment ref="L38" authorId="0" shapeId="0" xr:uid="{61D3D014-A255-4BAA-974B-CAA390320B46}">
      <text>
        <r>
          <rPr>
            <sz val="9"/>
            <color indexed="81"/>
            <rFont val="Tahoma"/>
            <family val="2"/>
          </rPr>
          <t xml:space="preserve">Invalid result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Terris</author>
  </authors>
  <commentList>
    <comment ref="C20" authorId="0" shapeId="0" xr:uid="{3A214C8A-650A-4079-8CF7-FECD029FAB42}">
      <text>
        <r>
          <rPr>
            <sz val="9"/>
            <color indexed="81"/>
            <rFont val="Tahoma"/>
            <family val="2"/>
          </rPr>
          <t>Assumes cash flow occurred on the 5th of the month</t>
        </r>
      </text>
    </comment>
    <comment ref="H57" authorId="0" shapeId="0" xr:uid="{31A582E2-46EF-4864-ADA1-2F09EBBB8DB0}">
      <text>
        <r>
          <rPr>
            <sz val="9"/>
            <color indexed="81"/>
            <rFont val="Tahoma"/>
            <family val="2"/>
          </rPr>
          <t>Assumes cash flow occurred on the 14th of the month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<sst xmlns="http://schemas.openxmlformats.org/spreadsheetml/2006/main" count="450" uniqueCount="199">
  <si>
    <t>Fund IRR</t>
  </si>
  <si>
    <t>LN PME Hypothetical Public Portfolio</t>
  </si>
  <si>
    <t>PME+ Hypothetical Public Portfolio</t>
  </si>
  <si>
    <t>PME+ Scaling Factor</t>
  </si>
  <si>
    <t>mPME Hypothetical Public Portfolio</t>
  </si>
  <si>
    <t>KS PME</t>
  </si>
  <si>
    <t>Direct Alpha</t>
  </si>
  <si>
    <t>Date</t>
  </si>
  <si>
    <t>Contributions</t>
  </si>
  <si>
    <t>Fund NAV</t>
  </si>
  <si>
    <t>Net Cash Flows</t>
  </si>
  <si>
    <t>Index</t>
  </si>
  <si>
    <t>YOY Chg</t>
  </si>
  <si>
    <t>LN PME NAV</t>
  </si>
  <si>
    <t>Dist. * Scaling</t>
  </si>
  <si>
    <t>FV Cont.</t>
  </si>
  <si>
    <t>FV Dist.</t>
  </si>
  <si>
    <t>D(mPME)</t>
  </si>
  <si>
    <t>mPME NAV</t>
  </si>
  <si>
    <t>FV Net CFs</t>
  </si>
  <si>
    <t>IRR</t>
  </si>
  <si>
    <t>LN PME IRR</t>
  </si>
  <si>
    <t>PME+ IRR</t>
  </si>
  <si>
    <t>Scaling Factor</t>
  </si>
  <si>
    <t>mPME IRR</t>
  </si>
  <si>
    <t>TVPI</t>
  </si>
  <si>
    <t>Δ IRR</t>
  </si>
  <si>
    <t>Distributions</t>
  </si>
  <si>
    <t xml:space="preserve">EXAMPLE 1 </t>
  </si>
  <si>
    <t xml:space="preserve">EXAMPLE 2 - LARGE DISTRIBUTION RESULTS IN NEGATIVE NAV FOR LONG NICKELS (LN PME) AND SHOULD NOT BE USED </t>
  </si>
  <si>
    <t>Portfolio A</t>
  </si>
  <si>
    <t>Portfolio Components</t>
  </si>
  <si>
    <t>Small Cap Equity</t>
  </si>
  <si>
    <t>Large Cap Equity</t>
  </si>
  <si>
    <t>Core Bond Fund</t>
  </si>
  <si>
    <t>Total</t>
  </si>
  <si>
    <t>Portfolio A - Custom Portfolio-Weighted BM</t>
  </si>
  <si>
    <t>Portfolio A Component Benchmark Returns</t>
  </si>
  <si>
    <t>Portfolio A Benchmark Components</t>
  </si>
  <si>
    <t>2024</t>
  </si>
  <si>
    <t>US Small Cap Index A</t>
  </si>
  <si>
    <t>US Large Cap Index B</t>
  </si>
  <si>
    <t>Core Bond Index C</t>
  </si>
  <si>
    <t>Portfolio A Portfolio-Weighted BM Return</t>
  </si>
  <si>
    <t>Portfolio B</t>
  </si>
  <si>
    <t>Portfolio B Component Benchmark Returns</t>
  </si>
  <si>
    <t>Portfolio B Benchmark Components</t>
  </si>
  <si>
    <t>US Small Cap Index D</t>
  </si>
  <si>
    <t>US Large Cap Index E</t>
  </si>
  <si>
    <t>Core Bond Index F</t>
  </si>
  <si>
    <t>Portfolio B Portfolio-Weighted BM Return</t>
  </si>
  <si>
    <t>Composite Assets &amp; Returns</t>
  </si>
  <si>
    <t>Composite Assets</t>
  </si>
  <si>
    <t>Composite Portfolio-Weighted BM Returns</t>
  </si>
  <si>
    <t>Portfolio Values</t>
  </si>
  <si>
    <t>Percentages</t>
  </si>
  <si>
    <t>at 12/31/2024</t>
  </si>
  <si>
    <t>60/40 monthly weighted benchmark calculation</t>
  </si>
  <si>
    <t>60/40 Blended Benchmark</t>
  </si>
  <si>
    <t>2024 Annual Return</t>
  </si>
  <si>
    <t>60/40 quarterly weighted benchmark calculation</t>
  </si>
  <si>
    <t>Q1</t>
  </si>
  <si>
    <t>Q2</t>
  </si>
  <si>
    <t>Q3</t>
  </si>
  <si>
    <t>Q4</t>
  </si>
  <si>
    <t>Benchmark Name</t>
  </si>
  <si>
    <t>Period</t>
  </si>
  <si>
    <t>Return</t>
  </si>
  <si>
    <t>Annual Management Fee</t>
  </si>
  <si>
    <t>1/12 of</t>
  </si>
  <si>
    <t>Benchmark</t>
  </si>
  <si>
    <t>Annual Mgt</t>
  </si>
  <si>
    <t>Fee</t>
  </si>
  <si>
    <t>Net Return</t>
  </si>
  <si>
    <t>Equities</t>
  </si>
  <si>
    <t>Fixed Income</t>
  </si>
  <si>
    <t>Financing (i.e., leverage)</t>
  </si>
  <si>
    <t>Annual Returns</t>
  </si>
  <si>
    <t>Contribution to Benchmark Return</t>
  </si>
  <si>
    <t>Benchmark Notes</t>
  </si>
  <si>
    <t xml:space="preserve">Large Cap Index </t>
  </si>
  <si>
    <t>Composite Disclosure Percentages</t>
  </si>
  <si>
    <t>Weights</t>
  </si>
  <si>
    <t>Composite Benchmark Return</t>
  </si>
  <si>
    <t>Alternative SUMPRODUCT formula</t>
  </si>
  <si>
    <t>Example 1: Benchmark Change at beginning of June</t>
  </si>
  <si>
    <t>6/1/2024-6/15/2024</t>
  </si>
  <si>
    <t>6/16/2024-6/30/2024</t>
  </si>
  <si>
    <t>Example 2: Benchmark Change in middle of June</t>
  </si>
  <si>
    <t>Annualized TWR published return</t>
  </si>
  <si>
    <t>External Cash Flows Weight</t>
  </si>
  <si>
    <t>External Cash Flow ($ Amount)</t>
  </si>
  <si>
    <t>External Cash Flows (Dollar Weighted)</t>
  </si>
  <si>
    <t>Arithmetic</t>
  </si>
  <si>
    <t>Geometric</t>
  </si>
  <si>
    <t>12th root of</t>
  </si>
  <si>
    <t>Index Value</t>
  </si>
  <si>
    <t>Index Value Converted to Return</t>
  </si>
  <si>
    <t>=B3/B2-1</t>
  </si>
  <si>
    <t>Formula</t>
  </si>
  <si>
    <t>Conversion from Yield to Return</t>
  </si>
  <si>
    <t>Annual Return</t>
  </si>
  <si>
    <t>Secured Overnight Financing Rate (SOFR)</t>
  </si>
  <si>
    <t>SOFR</t>
  </si>
  <si>
    <t>=(1+B369/100)^(1/360)-1</t>
  </si>
  <si>
    <t xml:space="preserve">This tab includes two examples of calculations when there is a change in the benchmark during the annual reporting period. Example 1 shows a benchmark change at the </t>
  </si>
  <si>
    <t>beginning of the next month. Example 2 shows a benchmark change that occurs in the middle of the month.</t>
  </si>
  <si>
    <t>70/30 Blended Benchmark</t>
  </si>
  <si>
    <t>US Small Cap Index C</t>
  </si>
  <si>
    <t>US Large Cap Index D</t>
  </si>
  <si>
    <t>Composite Benchmark Calculation</t>
  </si>
  <si>
    <t xml:space="preserve">The components that constitute this portfolio-weighted custom benchmark and their weights, as well as the individual indexes, are available for all periods upon request. </t>
  </si>
  <si>
    <t>Asset Class</t>
  </si>
  <si>
    <t>Disclosure</t>
  </si>
  <si>
    <t>As of 12/31/2024 the custom benchmark includes allocations as follows:</t>
  </si>
  <si>
    <t>This example shows how to convert a benchmark index value to a return.</t>
  </si>
  <si>
    <t xml:space="preserve">The components that constitute this portfolio-weighted benchmark and their weights, as well as the individual indexes, are available for all periods upon request. </t>
  </si>
  <si>
    <t>This composite benchmark is rebalanced on a monthly basis.</t>
  </si>
  <si>
    <t>The custom benchmark is rebalanced on a monthly basis.</t>
  </si>
  <si>
    <t>Firms should use the same methodology to calculate the benchmark net return as they use for the composite or pooled fund net return.</t>
  </si>
  <si>
    <t>Totals</t>
  </si>
  <si>
    <t>Benchmark %</t>
  </si>
  <si>
    <t>Benchmark net returns can be calculated using either an arithmetic management fee or a geometric management fee calculation</t>
  </si>
  <si>
    <t xml:space="preserve">Geometric Management Fee (column H): In the example above, a monthly management fee is calculated by taking the 12th root of the annual management fee. </t>
  </si>
  <si>
    <t>Public Market Equivalents (PME)</t>
  </si>
  <si>
    <t>A Public Market Equivalent (“PME”) is a performance measure used to compare the returns of a private market fund to a public market index. It helps investors to understand how their investment in a private market fund would have performed if the same cash flows were instead invested in a public market index, such as the S&amp;P 500, Russell 2000, or MSCI World. There are several different PME calculations, but they are all calculated using returns from public market indices and investor (or fund) cash flows. This document is not intended to describe every possible PME calculation, but rather focuses on some of the well-known PME calculations at the time of the issuance of this document. These measures are the Long-Nickels PME, PME+, mPME, KS PME, and Direct Alpha.</t>
  </si>
  <si>
    <t>Types of Public Market Equivalents (PME)</t>
  </si>
  <si>
    <r>
      <t>Long-Nickels PME</t>
    </r>
    <r>
      <rPr>
        <sz val="11"/>
        <color theme="1"/>
        <rFont val="Aptos"/>
        <family val="2"/>
      </rPr>
      <t xml:space="preserve"> – The Long-Nickels PME was introduced in 1996 by Austin Long III and Craig Nickels. The Long-Nickels method pairs each contribution to and distribution from a private market fund with a corresponding investment or withdrawal in a public market index to calculate a theoretical portfolio terminal value. The Long-Nickels PME is then calculated by applying the internal rate of return (IRR) formula, using the actual contributions and distributions from the private market fund along with the corresponding theoretical portfolio as inputs. The actual IRR of the private market fund can then be compared to how an equivalent investment in a public market index would have performed.</t>
    </r>
  </si>
  <si>
    <r>
      <t>PME+</t>
    </r>
    <r>
      <rPr>
        <sz val="11"/>
        <color theme="1"/>
        <rFont val="Aptos"/>
        <family val="2"/>
      </rPr>
      <t xml:space="preserve"> – The PME+ was introduced by Christophe Rouvinez and Capital Dynamics in 2003. The PME+ overcomes the limitations of the negative theoretical portfolio that can occur with the Long-Nickels PME by introducing a fixed scaling factor, lambda, to scale the distributions (note that there is no scaling factor applied to contributions). The PME+ is then calculated by applying the IRR formula using the fund’s actual contributions, scaled distributions, and the fund’s actual ending value.  </t>
    </r>
  </si>
  <si>
    <r>
      <t>mPME</t>
    </r>
    <r>
      <rPr>
        <sz val="11"/>
        <color theme="1"/>
        <rFont val="Aptos"/>
        <family val="2"/>
      </rPr>
      <t xml:space="preserve"> – The modified PME (or mPME) was developed by Cambridge Associates in 2013. Similar to the PME+ methodology, the mPME scales the private market fund distributions, but does not use a fixed scaling factor like the PME+. Instead, distributions are scaled in the same proportion of the dollar value of the shares owned in the public equivalent as the private investment sells in private shares. Unlike the PME+, the mPME also applies a scaling factor to the fund’s ending value.</t>
    </r>
  </si>
  <si>
    <r>
      <t>KS PME</t>
    </r>
    <r>
      <rPr>
        <sz val="11"/>
        <color theme="1"/>
        <rFont val="Aptos"/>
        <family val="2"/>
      </rPr>
      <t xml:space="preserve"> – The Kaplan Schoar PME (or KS PME) was developed by Kaplan and Schoar in 2005. Rather than calculating an IRR, the KS PME calculates a ratio. The KS PME is calculated by discounting the private market fund’s cash flows by the public market index value. The discounted distributions plus the fund’s ending value are divided by the discounted contributions to obtain the ratio.</t>
    </r>
  </si>
  <si>
    <r>
      <t>Direct Alpha</t>
    </r>
    <r>
      <rPr>
        <sz val="11"/>
        <color theme="1"/>
        <rFont val="Aptos"/>
        <family val="2"/>
      </rPr>
      <t xml:space="preserve"> –Direct Alpha was developed by Gredil, Griffiths, and Stuke in 2014. The Direct Alpha method calculates the rate of excess return directly based on the private market fund’s cash flows and the time series of returns from the reference benchmark.</t>
    </r>
  </si>
  <si>
    <r>
      <t xml:space="preserve">Other PME Considerations – </t>
    </r>
    <r>
      <rPr>
        <sz val="11"/>
        <color theme="1"/>
        <rFont val="Aptos"/>
        <family val="2"/>
      </rPr>
      <t>PMEs may be calculated using either gross or net external cash flows. When presenting PME calculations the firm should disclose whether gross or net external cash flows are used in the calculation of the PME.</t>
    </r>
  </si>
  <si>
    <r>
      <rPr>
        <b/>
        <sz val="11"/>
        <color theme="1"/>
        <rFont val="Aptos"/>
        <family val="2"/>
      </rPr>
      <t>Cons:</t>
    </r>
    <r>
      <rPr>
        <sz val="11"/>
        <color theme="1"/>
        <rFont val="Aptos"/>
        <family val="2"/>
      </rPr>
      <t xml:space="preserve"> Direct Alpha measures the alpha relative to the benchmark. Because it calculates the alpha, or excess return, of a fund relative to a public market index, and not a benchmark return itself, Direct Alpha does not qualify as a benchmark that could stand alone in a GIPS Report. Direct Alpha results could be presented as additional information in a GIPS Report.</t>
    </r>
  </si>
  <si>
    <r>
      <rPr>
        <b/>
        <sz val="11"/>
        <color theme="1"/>
        <rFont val="Aptos"/>
        <family val="2"/>
      </rPr>
      <t>Cons:</t>
    </r>
    <r>
      <rPr>
        <sz val="11"/>
        <color theme="1"/>
        <rFont val="Aptos"/>
        <family val="2"/>
      </rPr>
      <t xml:space="preserve"> The KS PME ignores the timing of cash flows and is not directly comparable to the IRR. Also, because the KS PME produces a relative index similar to a ratio, results can only be presented as additional information in a GIPS Report.</t>
    </r>
  </si>
  <si>
    <r>
      <rPr>
        <b/>
        <sz val="11"/>
        <color theme="1"/>
        <rFont val="Aptos"/>
        <family val="2"/>
      </rPr>
      <t>Pros:</t>
    </r>
    <r>
      <rPr>
        <sz val="11"/>
        <color theme="1"/>
        <rFont val="Aptos"/>
        <family val="2"/>
      </rPr>
      <t xml:space="preserve"> The KS PME results are easy to interpret. Results greater than 1 represent outperformance of the fund relative to a public market index and results less than 1 represent underperformance relative to a public market index.</t>
    </r>
  </si>
  <si>
    <r>
      <rPr>
        <b/>
        <sz val="11"/>
        <color theme="1"/>
        <rFont val="Aptos"/>
        <family val="2"/>
      </rPr>
      <t>Cons:</t>
    </r>
    <r>
      <rPr>
        <sz val="11"/>
        <color theme="1"/>
        <rFont val="Aptos"/>
        <family val="2"/>
      </rPr>
      <t xml:space="preserve"> The calculations can be complex, especially when there are irregular cash flows.</t>
    </r>
  </si>
  <si>
    <r>
      <rPr>
        <b/>
        <sz val="11"/>
        <color theme="1"/>
        <rFont val="Aptos"/>
        <family val="2"/>
      </rPr>
      <t>Pros:</t>
    </r>
    <r>
      <rPr>
        <sz val="11"/>
        <color theme="1"/>
        <rFont val="Aptos"/>
        <family val="2"/>
      </rPr>
      <t xml:space="preserve"> Similar to the PME+, the mPME can handle scenarios where the theoretical portfolio from the Long-Nickels PME turns negative.</t>
    </r>
  </si>
  <si>
    <r>
      <rPr>
        <b/>
        <sz val="11"/>
        <color theme="1"/>
        <rFont val="Aptos"/>
        <family val="2"/>
      </rPr>
      <t>Cons:</t>
    </r>
    <r>
      <rPr>
        <sz val="11"/>
        <color theme="1"/>
        <rFont val="Aptos"/>
        <family val="2"/>
      </rPr>
      <t xml:space="preserve"> The calculations are not as simple as the Long-Nickels PME and rely on the assumption that scaled distributions are valid.</t>
    </r>
  </si>
  <si>
    <r>
      <rPr>
        <b/>
        <sz val="11"/>
        <color theme="1"/>
        <rFont val="Aptos"/>
        <family val="2"/>
      </rPr>
      <t>Pros:</t>
    </r>
    <r>
      <rPr>
        <sz val="11"/>
        <color theme="1"/>
        <rFont val="Aptos"/>
        <family val="2"/>
      </rPr>
      <t xml:space="preserve"> The PME+ can handle scenarios where the theoretical portfolio from the Long-Nickels PME turns negative.  </t>
    </r>
  </si>
  <si>
    <r>
      <rPr>
        <b/>
        <sz val="11"/>
        <color theme="1"/>
        <rFont val="Aptos"/>
        <family val="2"/>
      </rPr>
      <t>Pros:</t>
    </r>
    <r>
      <rPr>
        <sz val="11"/>
        <color theme="1"/>
        <rFont val="Aptos"/>
        <family val="2"/>
      </rPr>
      <t xml:space="preserve"> The Long-Nickels PME is easy to understand.</t>
    </r>
  </si>
  <si>
    <t>Portfolio-Weighted Benchmark</t>
  </si>
  <si>
    <t>Benchmark Change</t>
  </si>
  <si>
    <t>Cash Return Benchmark</t>
  </si>
  <si>
    <t>Type of Benchmark</t>
  </si>
  <si>
    <t>Description</t>
  </si>
  <si>
    <t>Benchmarks are often assigned an index value. This worksheet shows how to convert the index value to a return value.</t>
  </si>
  <si>
    <t>Some organizations may wish to calculate benchmark returns that are net of management fees. This worksheet provides examples that use both arithmetic and geometric methods to apply an annual management fee on a monthly basis to the monthly gross benchmark return to arrive at a monthly net benchmark return.</t>
  </si>
  <si>
    <t>Some benchmarks may be levered. This worksheet shows one example of how a levered benchmark return may be calculated.</t>
  </si>
  <si>
    <r>
      <rPr>
        <b/>
        <sz val="11"/>
        <color theme="1"/>
        <rFont val="Aptos"/>
        <family val="2"/>
      </rPr>
      <t xml:space="preserve">Cons: </t>
    </r>
    <r>
      <rPr>
        <sz val="11"/>
        <color theme="1"/>
        <rFont val="Aptos"/>
        <family val="2"/>
      </rPr>
      <t>When a private market fund significantly outperforms the public market index and makes large distributions, the theoretical portfolio can turn negative, often resulting in an unsolvable IRR. In cases where the IRR is solvable, the result is not valid and the result should not be presented. See example 2 in the PME Calcs tab.</t>
    </r>
  </si>
  <si>
    <t>Similar to the portfolio weighted-benchmark, except the benchmark components are weighted by the beginning portfolio-weights plus weighted external cash flows.</t>
  </si>
  <si>
    <t>31 Dec. 2024 Ending Values</t>
  </si>
  <si>
    <t>The composite benchmark return is computed monthly using the portfolio-weighted average of component benchmark returns, with weights based on each portfolio’s beginning-of-month fair value.</t>
  </si>
  <si>
    <t>The composite benchmark return is computed monthly using the portfolio-weighted average of component benchmark returns, with weights based on each portfolio’s beginning-of-month fair value plus weighted cash flows during the month.</t>
  </si>
  <si>
    <t>=FVSCHEDULE(1,C3:C14)-1</t>
  </si>
  <si>
    <t>The content in this spreadsheet is for informational purposes only. You should not construe any such information or other material as legal, tax, investment, financial, or other advice. You alone assume the sole responsibility of evaluating the merits and risks associated with the use of any information or other Content on the Site before making any decisions based on such information or other Content. You agree not to hold CFA Institute or its subsidiaries liable for any possible claim arising from any decision you make based on information or content made available to you through this spreadsheet.</t>
  </si>
  <si>
    <t>Long, Austin M., and Craig J. Nickels, 1996, A Private Investment Benchmark, Working Paper. As cited at http://alignmentcapital.com/pdfs/research/icm_aimr_benchmark_1996.pdf</t>
  </si>
  <si>
    <t>https://www.capdyn.com/news/private-equity-benchmarking-with-capital-dynamics-pme/</t>
  </si>
  <si>
    <t>https://directalphamethod.info/</t>
  </si>
  <si>
    <t>Original citation: Kaplan, Steven N., and Antoinette Schoar, 2005, Private Equity Performance: Returns, Persistence, and Capital Flows, Journal of Finance, 60:4, 1791-1823. 
A copy can be found at https://onlinelibrary.wiley.com/doi/10.1111/j.1540-6261.2005.00780.x</t>
  </si>
  <si>
    <t>https://www.cambridgeassociates.com/wp-content/uploads/2014/02/CA-PE-and-VC-Benchmarks-Overview-Definitions-and-FAQs.pdf</t>
  </si>
  <si>
    <t>Alternative Example Calculation</t>
  </si>
  <si>
    <t>Portfolio-Weighted Benchmark Calculation for Multi-Asset Class Portfolio</t>
  </si>
  <si>
    <t>Portfolio-Weighted Benchmark with Cash Flows Calculation for Multi-Asset Class Portfolio</t>
  </si>
  <si>
    <t>Benchmark Change Examples</t>
  </si>
  <si>
    <t>Benchmark Net Returns Calculated by Applying the Annual Management Fee Using Arithmetic and Geometric Methodologies</t>
  </si>
  <si>
    <t>Leveraged Benchmark Return Calculation</t>
  </si>
  <si>
    <t>Converting a Cash Yield to a Return</t>
  </si>
  <si>
    <t>A portfolio-weighted benchmark is a custom benchmark that uses the benchmarks of the individual portfolios in the composite. Instead of comparing a portfolio’s performance to a single market index (like the S&amp;P 500), a portfolio-weighted benchmark weights each of the benchmarks of the individual portfolios by the portfolio’s beginning weights in the composite.</t>
  </si>
  <si>
    <t>Portfolio-Weighted Benchmark with Cash Flows</t>
  </si>
  <si>
    <t>Blended Monthly Weighted Benchmark</t>
  </si>
  <si>
    <t>Leveraged Benchmark Return</t>
  </si>
  <si>
    <t>Benchmark - Net of Management Fees</t>
  </si>
  <si>
    <t>Blended Quarterly Weighted Benchmark</t>
  </si>
  <si>
    <t>The benchmark consists of 60% US Small Cap Index A and 40% US Large Cap Index B.  Monthly blended benchmark returns are calculated by weighting the monthly benchmark component returns by their respective strategic allocation (60/40). The monthly blended benchmark returns are geometrically linked to determine the annual blended benchmark return.</t>
  </si>
  <si>
    <t>The benchmark consists of 60% US Small Cap Index A and 40% US Large Cap Index B. Quarterly benchmark returns are determined by geometrically linking the monthly benchmark returns. These quarterly geometric returns are weighted using the specified strategic allocation (60/40) for each quarter to calculate the blended benchmark return for that period. The quarterly blended benchmark returns are subsequently geometrically linked to determine the annual blended benchmark return.</t>
  </si>
  <si>
    <t>Beginning-of-Month Portfolio Values</t>
  </si>
  <si>
    <t>Composite Beginning-of-Month Portfolio Values</t>
  </si>
  <si>
    <t xml:space="preserve">The benchmark is composed of strategic allocations to various large cap and small cap benchmarks. The components of the portfolio-weighted custom benchmark are presented at the aggregated asset class level. </t>
  </si>
  <si>
    <t>Effective 6/1/2024, the benchmark changed from US Small Cap Index A to US Small Cap Index D on a prospective basis.</t>
  </si>
  <si>
    <t>Effective 6/16/2024, the benchmark changed from US Small Cap Index A to US Small Cap Index D on a prospective basis.</t>
  </si>
  <si>
    <t xml:space="preserve">Arithmetic Management Fee (column C): In the example above, a monthly management fee is calculated by taking 1/12 of the annual management fee. </t>
  </si>
  <si>
    <t>Strategic Benchmark Allocations</t>
  </si>
  <si>
    <t>Observation date</t>
  </si>
  <si>
    <t>=PRODUCT(G4:G15)-1</t>
  </si>
  <si>
    <r>
      <rPr>
        <b/>
        <sz val="11"/>
        <color theme="1"/>
        <rFont val="Aptos"/>
        <family val="2"/>
      </rPr>
      <t>Pros:</t>
    </r>
    <r>
      <rPr>
        <sz val="11"/>
        <color theme="1"/>
        <rFont val="Aptos"/>
        <family val="2"/>
      </rPr>
      <t xml:space="preserve"> The Direct Alpha method is simpler to calculate compared to some other PME benchmark calculations.</t>
    </r>
  </si>
  <si>
    <t>A blended monthly weighted benchmark consists of a blend of two or more benchmarks based on a predetermined allocation such as 60% equity and 40% fixed income. The benchmark returns for each component (e.g., equity benchmark return and fixed income benchmark return) are weighted by the allocation to each and summed on a monthly basis. Monthly blended benchmark returns are then linked to arrive at the annual blended benchmark return.</t>
  </si>
  <si>
    <t>Similar to the Blended Monthly Weighted benchmark example except that the benchmark returns for each benchmark component are calculated quarterly and then weighted by the allocation to each benchmark component (e.g., weighted 60%/40% to the equity benchmark and the fixed income benchmark respectively). Quarterly blended benchmark returns are then linked to arrive at the annual blended benchmark return.</t>
  </si>
  <si>
    <t>Sometimes organizations will change benchmarks during a reporting period. For example, a firm might change from one large cap benchmark to a different large cap benchmark during the year. This example shows how to calculate the benchmark returns for the period when a smooth, month-end transition occurs (e.g., at month-end) and when the change occurs during a point in time within the month, such as on the 10th of the month.</t>
  </si>
  <si>
    <t>Cash return benchmarks are often presented as a daily yield. This worksheet show how a firm can convert the daily yield to an equivalent annual return.</t>
  </si>
  <si>
    <t>Portfolio A End-of-Period Fair Values</t>
  </si>
  <si>
    <t>Portfolio B End-of-Period Fair Values</t>
  </si>
  <si>
    <r>
      <t xml:space="preserve">This spreadsheet includes illustrative examples of two key benchmark types used in investment performance evaluation:
</t>
    </r>
    <r>
      <rPr>
        <b/>
        <sz val="11"/>
        <color theme="1"/>
        <rFont val="Aptos Narrow"/>
        <family val="2"/>
      </rPr>
      <t xml:space="preserve">  •</t>
    </r>
    <r>
      <rPr>
        <b/>
        <sz val="11"/>
        <color theme="1"/>
        <rFont val="Aptos Narrow"/>
        <family val="2"/>
        <scheme val="minor"/>
      </rPr>
      <t xml:space="preserve"> Public Market Equivalent (PME) benchmarks, which are commonly used to assess private market investments relative to public market indices.
  • Time-weighted benchmarks, which are frequently applied by investment managers to measure performance in a way that neutralizes the impact of cash flows.
Please note that this is not a comprehensive listing of all benchmark types. For example, it does not include peer group benchmarks, ETF benchmarks, or other types. Additionally, the spreadsheet does not contain all disclosures required for inclusion in a GIPS Report.
For complete guidance on benchmark requirements, please refer to the GIPS Standards, the Guidance Statement on Benchmarks for Firms, and the Guidance Statement on Benchmarks for Asset Owners.</t>
    </r>
  </si>
  <si>
    <t>Resources on PME Calculations</t>
  </si>
  <si>
    <t>=C4+1</t>
  </si>
  <si>
    <t>Alternative Formula</t>
  </si>
  <si>
    <t>Each portfolio benchmark return is calculated by applying the strategic allocation weights to the respective benchmark returns. For example, Portfolio A’s benchmark return is derived by multiplying its 70%/30% allocation with the returns of US Small Cap A and US Large Cap B, respectively. Similarly, Portfolio B’s benchmark return is derived by multiplying its 60%/40% allocation with the returns of the US Small Cap C and US Large Cap D, respectively. Once each portfolio’s benchmark return is calculated, it is weighted by the beginning portfolio weights (or beginning weights adjusted for weighted cash flows) to calculate the composite benchmark return. Note: This is an example of a portfolio-weighted benchmark where both portfolios are included in the same composite as they meet the composite definition criteria.</t>
  </si>
  <si>
    <t>Portfolio-Weighted with Different Blended Benchmark Allocations</t>
  </si>
  <si>
    <t>Portfolio-Weighted Different Blended Benchmark Allocations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</si>
</sst>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_(* #,##0_);_(* \(#,##0\);_(* &quot;-&quot;??_);_(@_)"/>
    <numFmt numFmtId="165" formatCode="_(* #,##0.000_);_(* \(#,##0.000\);_(* &quot;-&quot;??_);_(@_)"/>
    <numFmt numFmtId="166" formatCode="0.000%"/>
    <numFmt numFmtId="167" formatCode="0.0000%"/>
    <numFmt numFmtId="168" formatCode="yyyy\-mm\-dd"/>
    <numFmt numFmtId="169" formatCode="0.00000"/>
    <numFmt numFmtId="170" formatCode="0.000000%"/>
    <numFmt numFmtId="171" formatCode="0.00000000000000000%"/>
  </numFmts>
  <fonts count="11"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Calibri"/>
      <family val="2"/>
    </font>
    <font>
      <sz val="9"/>
      <color indexed="81"/>
      <name val="Tahoma"/>
      <family val="2"/>
    </font>
    <font>
      <b/>
      <sz val="11"/>
      <color indexed="8"/>
      <name val="Aptos Narrow"/>
      <family val="2"/>
      <scheme val="minor"/>
    </font>
    <font>
      <sz val="11"/>
      <color theme="1"/>
      <name val="Aptos"/>
      <family val="2"/>
    </font>
    <font>
      <b/>
      <sz val="11"/>
      <color theme="1"/>
      <name val="Aptos"/>
      <family val="2"/>
    </font>
    <font>
      <u/>
      <sz val="11"/>
      <color theme="10"/>
      <name val="Aptos Narrow"/>
      <family val="2"/>
      <scheme val="minor"/>
    </font>
    <font>
      <sz val="14"/>
      <color theme="1"/>
      <name val="Aptos Narrow"/>
      <family val="2"/>
      <scheme val="minor"/>
    </font>
    <font>
      <b/>
      <sz val="11"/>
      <color theme="1"/>
      <name val="Aptos Narrow"/>
      <family val="2"/>
    </font>
  </fonts>
  <fills count="5">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76">
    <xf numFmtId="0" fontId="0" fillId="0" borderId="0" xfId="0"/>
    <xf numFmtId="0" fontId="0" fillId="0" borderId="2" xfId="0" applyBorder="1"/>
    <xf numFmtId="14" fontId="0" fillId="0" borderId="0" xfId="0" applyNumberFormat="1"/>
    <xf numFmtId="43" fontId="0" fillId="0" borderId="0" xfId="1" applyFont="1"/>
    <xf numFmtId="0" fontId="0" fillId="0" borderId="1" xfId="0" applyBorder="1"/>
    <xf numFmtId="164" fontId="0" fillId="0" borderId="1" xfId="1" applyNumberFormat="1" applyFont="1" applyBorder="1"/>
    <xf numFmtId="10" fontId="0" fillId="0" borderId="0" xfId="2" applyNumberFormat="1" applyFont="1"/>
    <xf numFmtId="9" fontId="0" fillId="0" borderId="0" xfId="0" applyNumberFormat="1"/>
    <xf numFmtId="10" fontId="0" fillId="0" borderId="0" xfId="0" applyNumberFormat="1"/>
    <xf numFmtId="164" fontId="0" fillId="0" borderId="0" xfId="0" applyNumberFormat="1"/>
    <xf numFmtId="10" fontId="0" fillId="0" borderId="0" xfId="2" applyNumberFormat="1" applyFont="1" applyBorder="1"/>
    <xf numFmtId="43" fontId="0" fillId="0" borderId="0" xfId="0" applyNumberFormat="1"/>
    <xf numFmtId="0" fontId="0" fillId="0" borderId="2" xfId="0" applyBorder="1" applyAlignment="1">
      <alignment wrapText="1"/>
    </xf>
    <xf numFmtId="0" fontId="0" fillId="0" borderId="0" xfId="0" applyAlignment="1">
      <alignment wrapText="1"/>
    </xf>
    <xf numFmtId="164" fontId="0" fillId="0" borderId="0" xfId="1" applyNumberFormat="1" applyFont="1"/>
    <xf numFmtId="0" fontId="3" fillId="0" borderId="0" xfId="0" applyFont="1"/>
    <xf numFmtId="2" fontId="0" fillId="0" borderId="0" xfId="0" applyNumberFormat="1"/>
    <xf numFmtId="165" fontId="0" fillId="0" borderId="0" xfId="0" applyNumberFormat="1"/>
    <xf numFmtId="0" fontId="2" fillId="0" borderId="0" xfId="0" applyFont="1"/>
    <xf numFmtId="14" fontId="0" fillId="0" borderId="1" xfId="0" applyNumberFormat="1" applyBorder="1"/>
    <xf numFmtId="164" fontId="0" fillId="0" borderId="2" xfId="1" applyNumberFormat="1" applyFont="1" applyBorder="1"/>
    <xf numFmtId="14" fontId="0" fillId="0" borderId="1" xfId="0" quotePrefix="1" applyNumberFormat="1" applyBorder="1" applyAlignment="1">
      <alignment horizontal="center"/>
    </xf>
    <xf numFmtId="14" fontId="0" fillId="0" borderId="1" xfId="0" quotePrefix="1" applyNumberFormat="1" applyBorder="1" applyAlignment="1">
      <alignment horizontal="center" vertical="center"/>
    </xf>
    <xf numFmtId="9" fontId="0" fillId="0" borderId="0" xfId="2" applyFont="1"/>
    <xf numFmtId="164" fontId="0" fillId="0" borderId="2" xfId="0" applyNumberFormat="1" applyBorder="1"/>
    <xf numFmtId="9" fontId="0" fillId="0" borderId="2" xfId="2" applyFont="1" applyBorder="1"/>
    <xf numFmtId="10" fontId="0" fillId="0" borderId="2" xfId="2" applyNumberFormat="1" applyFont="1" applyBorder="1"/>
    <xf numFmtId="10" fontId="0" fillId="0" borderId="2" xfId="0" applyNumberFormat="1" applyBorder="1"/>
    <xf numFmtId="0" fontId="0" fillId="2" borderId="0" xfId="0" applyFill="1"/>
    <xf numFmtId="0" fontId="0" fillId="3" borderId="0" xfId="0" applyFill="1"/>
    <xf numFmtId="0" fontId="0" fillId="0" borderId="1" xfId="0" applyBorder="1" applyAlignment="1">
      <alignment horizontal="right"/>
    </xf>
    <xf numFmtId="9" fontId="2" fillId="0" borderId="0" xfId="0" applyNumberFormat="1" applyFont="1" applyAlignment="1">
      <alignment horizontal="center"/>
    </xf>
    <xf numFmtId="166" fontId="0" fillId="0" borderId="0" xfId="0" applyNumberFormat="1"/>
    <xf numFmtId="166" fontId="0" fillId="0" borderId="0" xfId="2" applyNumberFormat="1" applyFont="1"/>
    <xf numFmtId="0" fontId="2" fillId="0" borderId="0" xfId="0" applyFont="1" applyAlignment="1">
      <alignment wrapText="1"/>
    </xf>
    <xf numFmtId="0" fontId="0" fillId="0" borderId="0" xfId="0" quotePrefix="1"/>
    <xf numFmtId="164" fontId="0" fillId="0" borderId="0" xfId="1" applyNumberFormat="1" applyFont="1" applyBorder="1"/>
    <xf numFmtId="43" fontId="0" fillId="0" borderId="0" xfId="1" applyFont="1" applyBorder="1"/>
    <xf numFmtId="167" fontId="0" fillId="0" borderId="0" xfId="2" applyNumberFormat="1" applyFont="1"/>
    <xf numFmtId="0" fontId="2" fillId="0" borderId="3" xfId="0" applyFont="1" applyBorder="1" applyAlignment="1">
      <alignment horizontal="center" vertical="top"/>
    </xf>
    <xf numFmtId="0" fontId="2" fillId="0" borderId="3" xfId="0" applyFont="1" applyBorder="1" applyAlignment="1">
      <alignment horizontal="center" vertical="top" wrapText="1"/>
    </xf>
    <xf numFmtId="168" fontId="0" fillId="0" borderId="0" xfId="0" applyNumberFormat="1"/>
    <xf numFmtId="10" fontId="0" fillId="0" borderId="0" xfId="2" quotePrefix="1" applyNumberFormat="1" applyFont="1"/>
    <xf numFmtId="0" fontId="5" fillId="0" borderId="0" xfId="0" applyFont="1"/>
    <xf numFmtId="169" fontId="2" fillId="0" borderId="3" xfId="0" applyNumberFormat="1" applyFont="1" applyBorder="1" applyAlignment="1">
      <alignment horizontal="center" vertical="top" wrapText="1"/>
    </xf>
    <xf numFmtId="167" fontId="0" fillId="0" borderId="0" xfId="2" quotePrefix="1" applyNumberFormat="1" applyFont="1"/>
    <xf numFmtId="0" fontId="0" fillId="0" borderId="0" xfId="0" applyAlignment="1">
      <alignment horizontal="center"/>
    </xf>
    <xf numFmtId="170" fontId="0" fillId="0" borderId="0" xfId="2" applyNumberFormat="1" applyFont="1" applyBorder="1"/>
    <xf numFmtId="169" fontId="0" fillId="0" borderId="0" xfId="0" applyNumberFormat="1"/>
    <xf numFmtId="169" fontId="2" fillId="0" borderId="3" xfId="0" applyNumberFormat="1" applyFont="1" applyBorder="1" applyAlignment="1">
      <alignment horizontal="center" vertical="top"/>
    </xf>
    <xf numFmtId="9" fontId="0" fillId="0" borderId="2" xfId="0" applyNumberFormat="1" applyBorder="1"/>
    <xf numFmtId="171" fontId="0" fillId="0" borderId="0" xfId="0" applyNumberFormat="1"/>
    <xf numFmtId="167" fontId="0" fillId="0" borderId="0" xfId="0" applyNumberFormat="1"/>
    <xf numFmtId="167" fontId="0" fillId="0" borderId="0" xfId="2" applyNumberFormat="1" applyFont="1" applyFill="1"/>
    <xf numFmtId="0" fontId="7" fillId="0" borderId="0" xfId="0" applyFont="1" applyAlignment="1">
      <alignment vertical="center" wrapText="1"/>
    </xf>
    <xf numFmtId="0" fontId="6" fillId="0" borderId="0" xfId="0" applyFont="1" applyAlignment="1">
      <alignment vertical="center" wrapText="1"/>
    </xf>
    <xf numFmtId="0" fontId="8" fillId="0" borderId="0" xfId="3"/>
    <xf numFmtId="0" fontId="0" fillId="0" borderId="1" xfId="0" applyBorder="1" applyAlignment="1">
      <alignment wrapText="1"/>
    </xf>
    <xf numFmtId="0" fontId="2" fillId="2" borderId="0" xfId="0" applyFont="1" applyFill="1" applyAlignment="1">
      <alignment wrapText="1"/>
    </xf>
    <xf numFmtId="9" fontId="0" fillId="0" borderId="1" xfId="0" applyNumberFormat="1" applyBorder="1"/>
    <xf numFmtId="0" fontId="2" fillId="0" borderId="1" xfId="0" applyFont="1" applyBorder="1"/>
    <xf numFmtId="0" fontId="2" fillId="0" borderId="1" xfId="0" applyFont="1" applyBorder="1" applyAlignment="1">
      <alignment wrapText="1"/>
    </xf>
    <xf numFmtId="10" fontId="0" fillId="0" borderId="2" xfId="2" quotePrefix="1" applyNumberFormat="1" applyFont="1" applyBorder="1"/>
    <xf numFmtId="0" fontId="9" fillId="0" borderId="0" xfId="0" applyFont="1" applyAlignment="1">
      <alignment vertical="center" wrapText="1"/>
    </xf>
    <xf numFmtId="0" fontId="8" fillId="0" borderId="0" xfId="3" applyAlignment="1">
      <alignment wrapText="1"/>
    </xf>
    <xf numFmtId="2" fontId="0" fillId="0" borderId="0" xfId="2" applyNumberFormat="1" applyFont="1"/>
    <xf numFmtId="0" fontId="8" fillId="0" borderId="0" xfId="3" applyFill="1"/>
    <xf numFmtId="2" fontId="0" fillId="0" borderId="0" xfId="2" quotePrefix="1" applyNumberFormat="1" applyFont="1"/>
    <xf numFmtId="0" fontId="2" fillId="0" borderId="0" xfId="0" applyFont="1" applyAlignment="1">
      <alignment horizontal="left" wrapText="1"/>
    </xf>
    <xf numFmtId="0" fontId="2" fillId="0" borderId="0" xfId="0" applyFont="1" applyAlignment="1">
      <alignment horizontal="left"/>
    </xf>
    <xf numFmtId="0" fontId="2" fillId="0" borderId="1" xfId="0" applyFont="1" applyBorder="1" applyAlignment="1">
      <alignment horizontal="center"/>
    </xf>
    <xf numFmtId="0" fontId="2" fillId="0" borderId="0" xfId="0" applyFont="1" applyAlignment="1">
      <alignment horizontal="center" wrapText="1"/>
    </xf>
    <xf numFmtId="0" fontId="2" fillId="4" borderId="0" xfId="0" applyFont="1" applyFill="1" applyAlignment="1">
      <alignment horizontal="center"/>
    </xf>
    <xf numFmtId="0" fontId="0" fillId="0" borderId="0" xfId="0" applyAlignment="1">
      <alignment horizontal="left" wrapText="1"/>
    </xf>
    <xf numFmtId="0" fontId="0" fillId="0" borderId="0" xfId="0" applyAlignment="1">
      <alignment horizontal="right"/>
    </xf>
    <xf numFmtId="0" fontId="0" fillId="2" borderId="0" xfId="0" applyFill="1" applyAlignment="1">
      <alignment horizont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2" Type="http://schemas.openxmlformats.org/officeDocument/2006/relationships/hyperlink" Target="https://www.cambridgeassociates.com/wp-content/uploads/2014/02/CA-PE-and-VC-Benchmarks-Overview-Definitions-and-FAQs.pdf" TargetMode="External"/><Relationship Id="rId1" Type="http://schemas.openxmlformats.org/officeDocument/2006/relationships/hyperlink" Target="https://www.capdyn.com/news/private-equity-benchmarking-with-capital-dynamics-pme/" TargetMode="Externa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0FA1D-4167-4085-BD41-9E09E9F4D608}">
  <sheetPr>
    <tabColor rgb="FFFFFF00"/>
  </sheetPr>
  <dimension ref="A1"/>
  <sheetViews>
    <sheetView workbookViewId="0"/>
  </sheetViews>
  <sheetFormatPr defaultRowHeight="15" x14ac:dyDescent="0.25"/>
  <cols>
    <col min="1" max="1" width="100.28515625" customWidth="1"/>
  </cols>
  <sheetData>
    <row r="1" spans="1:1" ht="131.25" x14ac:dyDescent="0.25">
      <c r="A1" s="63" t="s">
        <v>155</v>
      </c>
    </row>
  </sheetData>
  <sheetProtection algorithmName="SHA-512" hashValue="Rhx7nKZybLq/jTLSQMukPSQjkMXpAFjA4j5P8lta2i0nwPd3Wqx7mCvdZNtKhLMobc4tTp0ESNbfoBjKsKxFqA==" saltValue="GA2iQ556CtiTQiHpPvj3Sg==" spinCount="100000" sheet="1" objects="1" scenarios="1" selectLockedCells="1" selectUn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A9086-4A45-4726-A152-B76EA4430D85}">
  <sheetPr>
    <tabColor rgb="FF00B050"/>
  </sheetPr>
  <dimension ref="A1:F20"/>
  <sheetViews>
    <sheetView workbookViewId="0"/>
  </sheetViews>
  <sheetFormatPr defaultRowHeight="15" x14ac:dyDescent="0.25"/>
  <cols>
    <col min="1" max="1" width="18.140625" bestFit="1" customWidth="1"/>
    <col min="2" max="2" width="12.5703125" customWidth="1"/>
    <col min="3" max="3" width="11.28515625" customWidth="1"/>
    <col min="4" max="4" width="12.7109375" customWidth="1"/>
  </cols>
  <sheetData>
    <row r="1" spans="1:4" x14ac:dyDescent="0.25">
      <c r="A1" s="18" t="s">
        <v>57</v>
      </c>
    </row>
    <row r="2" spans="1:4" ht="45" x14ac:dyDescent="0.25">
      <c r="B2" s="13" t="s">
        <v>40</v>
      </c>
      <c r="C2" s="13" t="s">
        <v>41</v>
      </c>
      <c r="D2" s="13" t="s">
        <v>58</v>
      </c>
    </row>
    <row r="3" spans="1:4" x14ac:dyDescent="0.25">
      <c r="A3" t="s">
        <v>82</v>
      </c>
      <c r="B3" s="7">
        <v>0.6</v>
      </c>
      <c r="C3" s="7">
        <v>0.4</v>
      </c>
    </row>
    <row r="4" spans="1:4" x14ac:dyDescent="0.25">
      <c r="A4" s="2">
        <v>45322</v>
      </c>
      <c r="B4" s="6">
        <v>-3.95E-2</v>
      </c>
      <c r="C4" s="6">
        <v>1.6799999999999999E-2</v>
      </c>
      <c r="D4" s="8">
        <f>B4*$B$3+C4*$C$3</f>
        <v>-1.6979999999999999E-2</v>
      </c>
    </row>
    <row r="5" spans="1:4" x14ac:dyDescent="0.25">
      <c r="A5" s="2">
        <v>45351</v>
      </c>
      <c r="B5" s="6">
        <v>3.32E-2</v>
      </c>
      <c r="C5" s="6">
        <v>5.3400000000000003E-2</v>
      </c>
      <c r="D5" s="8">
        <f t="shared" ref="D5:D15" si="0">B5*$B$3+C5*$C$3</f>
        <v>4.1280000000000004E-2</v>
      </c>
    </row>
    <row r="6" spans="1:4" x14ac:dyDescent="0.25">
      <c r="A6" s="2">
        <v>45382</v>
      </c>
      <c r="B6" s="6">
        <v>3.2399999999999998E-2</v>
      </c>
      <c r="C6" s="6">
        <v>3.2199999999999999E-2</v>
      </c>
      <c r="D6" s="8">
        <f t="shared" si="0"/>
        <v>3.2320000000000002E-2</v>
      </c>
    </row>
    <row r="7" spans="1:4" x14ac:dyDescent="0.25">
      <c r="A7" s="2">
        <v>45412</v>
      </c>
      <c r="B7" s="6">
        <v>-5.6099999999999997E-2</v>
      </c>
      <c r="C7" s="6">
        <v>-4.0800000000000003E-2</v>
      </c>
      <c r="D7" s="8">
        <f t="shared" si="0"/>
        <v>-4.9979999999999997E-2</v>
      </c>
    </row>
    <row r="8" spans="1:4" x14ac:dyDescent="0.25">
      <c r="A8" s="2">
        <v>45443</v>
      </c>
      <c r="B8" s="6">
        <v>5.04E-2</v>
      </c>
      <c r="C8" s="6">
        <v>4.9599999999999998E-2</v>
      </c>
      <c r="D8" s="8">
        <f t="shared" si="0"/>
        <v>5.008E-2</v>
      </c>
    </row>
    <row r="9" spans="1:4" x14ac:dyDescent="0.25">
      <c r="A9" s="2">
        <v>45473</v>
      </c>
      <c r="B9" s="6">
        <v>-2.2800000000000001E-2</v>
      </c>
      <c r="C9" s="6">
        <v>3.5900000000000001E-2</v>
      </c>
      <c r="D9" s="8">
        <f t="shared" si="0"/>
        <v>6.8000000000000178E-4</v>
      </c>
    </row>
    <row r="10" spans="1:4" x14ac:dyDescent="0.25">
      <c r="A10" s="2">
        <v>45504</v>
      </c>
      <c r="B10" s="6">
        <v>0.108</v>
      </c>
      <c r="C10" s="6">
        <v>1.2200000000000001E-2</v>
      </c>
      <c r="D10" s="8">
        <f t="shared" si="0"/>
        <v>6.9679999999999992E-2</v>
      </c>
    </row>
    <row r="11" spans="1:4" x14ac:dyDescent="0.25">
      <c r="A11" s="2">
        <v>45535</v>
      </c>
      <c r="B11" s="6">
        <v>-1.44E-2</v>
      </c>
      <c r="C11" s="6">
        <v>2.4299999999999999E-2</v>
      </c>
      <c r="D11" s="8">
        <f t="shared" si="0"/>
        <v>1.0799999999999994E-3</v>
      </c>
    </row>
    <row r="12" spans="1:4" x14ac:dyDescent="0.25">
      <c r="A12" s="2">
        <v>45565</v>
      </c>
      <c r="B12" s="6">
        <v>8.5000000000000006E-3</v>
      </c>
      <c r="C12" s="6">
        <v>2.1399999999999999E-2</v>
      </c>
      <c r="D12" s="8">
        <f t="shared" si="0"/>
        <v>1.366E-2</v>
      </c>
    </row>
    <row r="13" spans="1:4" x14ac:dyDescent="0.25">
      <c r="A13" s="2">
        <v>45596</v>
      </c>
      <c r="B13" s="6">
        <v>-2.64E-2</v>
      </c>
      <c r="C13" s="6">
        <v>-9.1000000000000004E-3</v>
      </c>
      <c r="D13" s="8">
        <f t="shared" si="0"/>
        <v>-1.9480000000000001E-2</v>
      </c>
    </row>
    <row r="14" spans="1:4" x14ac:dyDescent="0.25">
      <c r="A14" s="2">
        <v>45626</v>
      </c>
      <c r="B14" s="6">
        <v>0.1094</v>
      </c>
      <c r="C14" s="6">
        <v>5.8700000000000002E-2</v>
      </c>
      <c r="D14" s="8">
        <f t="shared" si="0"/>
        <v>8.9119999999999991E-2</v>
      </c>
    </row>
    <row r="15" spans="1:4" x14ac:dyDescent="0.25">
      <c r="A15" s="2">
        <v>45657</v>
      </c>
      <c r="B15" s="6">
        <v>-7.9500000000000001E-2</v>
      </c>
      <c r="C15" s="6">
        <v>-2.3800000000000002E-2</v>
      </c>
      <c r="D15" s="8">
        <f t="shared" si="0"/>
        <v>-5.722E-2</v>
      </c>
    </row>
    <row r="16" spans="1:4" x14ac:dyDescent="0.25">
      <c r="A16" s="2" t="s">
        <v>59</v>
      </c>
      <c r="B16" s="26">
        <f>FVSCHEDULE(1,B4:B15)-1</f>
        <v>8.6933057537466718E-2</v>
      </c>
      <c r="C16" s="26">
        <f>FVSCHEDULE(1,C4:C15)-1</f>
        <v>0.25047333560819185</v>
      </c>
      <c r="D16" s="26">
        <f>FVSCHEDULE(1,D4:D15)-1</f>
        <v>0.15279503612506917</v>
      </c>
    </row>
    <row r="19" spans="1:6" x14ac:dyDescent="0.25">
      <c r="A19" s="18" t="s">
        <v>113</v>
      </c>
    </row>
    <row r="20" spans="1:6" ht="108.75" customHeight="1" x14ac:dyDescent="0.25">
      <c r="A20" s="73" t="s">
        <v>174</v>
      </c>
      <c r="B20" s="73"/>
      <c r="C20" s="73"/>
      <c r="D20" s="73"/>
      <c r="E20" s="73"/>
      <c r="F20" s="73"/>
    </row>
  </sheetData>
  <mergeCells count="1">
    <mergeCell ref="A20:F2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A1743-F014-4B44-89B2-DA9DA0C10AFD}">
  <sheetPr>
    <tabColor rgb="FF00B050"/>
  </sheetPr>
  <dimension ref="A1:E27"/>
  <sheetViews>
    <sheetView workbookViewId="0"/>
  </sheetViews>
  <sheetFormatPr defaultRowHeight="15" x14ac:dyDescent="0.25"/>
  <cols>
    <col min="1" max="1" width="18.140625" bestFit="1" customWidth="1"/>
    <col min="2" max="2" width="12.5703125" customWidth="1"/>
    <col min="3" max="3" width="11.28515625" customWidth="1"/>
    <col min="4" max="4" width="11" bestFit="1" customWidth="1"/>
  </cols>
  <sheetData>
    <row r="1" spans="1:4" x14ac:dyDescent="0.25">
      <c r="A1" s="18" t="s">
        <v>60</v>
      </c>
    </row>
    <row r="2" spans="1:4" ht="45" x14ac:dyDescent="0.25">
      <c r="B2" s="13" t="s">
        <v>40</v>
      </c>
      <c r="C2" s="13" t="s">
        <v>41</v>
      </c>
      <c r="D2" s="13" t="s">
        <v>58</v>
      </c>
    </row>
    <row r="3" spans="1:4" x14ac:dyDescent="0.25">
      <c r="A3" t="s">
        <v>82</v>
      </c>
      <c r="B3" s="59">
        <v>0.6</v>
      </c>
      <c r="C3" s="59">
        <v>0.4</v>
      </c>
    </row>
    <row r="4" spans="1:4" x14ac:dyDescent="0.25">
      <c r="A4" s="2">
        <v>45322</v>
      </c>
      <c r="B4" s="6">
        <v>-3.95E-2</v>
      </c>
      <c r="C4" s="6">
        <v>1.6799999999999999E-2</v>
      </c>
      <c r="D4" s="8"/>
    </row>
    <row r="5" spans="1:4" x14ac:dyDescent="0.25">
      <c r="A5" s="2">
        <v>45351</v>
      </c>
      <c r="B5" s="6">
        <v>3.32E-2</v>
      </c>
      <c r="C5" s="6">
        <v>5.3400000000000003E-2</v>
      </c>
      <c r="D5" s="8"/>
    </row>
    <row r="6" spans="1:4" x14ac:dyDescent="0.25">
      <c r="A6" s="2">
        <v>45382</v>
      </c>
      <c r="B6" s="6">
        <v>3.2399999999999998E-2</v>
      </c>
      <c r="C6" s="6">
        <v>3.2199999999999999E-2</v>
      </c>
      <c r="D6" s="8"/>
    </row>
    <row r="7" spans="1:4" x14ac:dyDescent="0.25">
      <c r="A7" s="2" t="s">
        <v>61</v>
      </c>
      <c r="B7" s="26">
        <f>FVSCHEDULE(1,B4:B6)-1</f>
        <v>2.4541990639999955E-2</v>
      </c>
      <c r="C7" s="26">
        <f>FVSCHEDULE(1,C4:C6)-1</f>
        <v>0.10558644726400002</v>
      </c>
      <c r="D7" s="27">
        <f t="shared" ref="D7:D22" si="0">B7*$B$3+C7*$C$3</f>
        <v>5.6959773289599981E-2</v>
      </c>
    </row>
    <row r="8" spans="1:4" x14ac:dyDescent="0.25">
      <c r="A8" s="2"/>
      <c r="B8" s="6"/>
      <c r="C8" s="6"/>
      <c r="D8" s="8"/>
    </row>
    <row r="9" spans="1:4" x14ac:dyDescent="0.25">
      <c r="A9" s="2">
        <v>45412</v>
      </c>
      <c r="B9" s="6">
        <v>-5.6099999999999997E-2</v>
      </c>
      <c r="C9" s="6">
        <v>-4.0800000000000003E-2</v>
      </c>
      <c r="D9" s="8"/>
    </row>
    <row r="10" spans="1:4" x14ac:dyDescent="0.25">
      <c r="A10" s="2">
        <v>45443</v>
      </c>
      <c r="B10" s="6">
        <v>5.04E-2</v>
      </c>
      <c r="C10" s="6">
        <v>4.9599999999999998E-2</v>
      </c>
      <c r="D10" s="8"/>
    </row>
    <row r="11" spans="1:4" x14ac:dyDescent="0.25">
      <c r="A11" s="2">
        <v>45473</v>
      </c>
      <c r="B11" s="6">
        <v>-2.2800000000000001E-2</v>
      </c>
      <c r="C11" s="6">
        <v>3.5900000000000001E-2</v>
      </c>
      <c r="D11" s="8"/>
    </row>
    <row r="12" spans="1:4" x14ac:dyDescent="0.25">
      <c r="A12" s="2" t="s">
        <v>62</v>
      </c>
      <c r="B12" s="26">
        <f>FVSCHEDULE(1,B9:B11)-1</f>
        <v>-3.1133014368000089E-2</v>
      </c>
      <c r="C12" s="26">
        <f>FVSCHEDULE(1,C9:C11)-1</f>
        <v>4.2919589888000154E-2</v>
      </c>
      <c r="D12" s="27">
        <f>B12*$B$3+C12*$C$3</f>
        <v>-1.5119726655999921E-3</v>
      </c>
    </row>
    <row r="13" spans="1:4" x14ac:dyDescent="0.25">
      <c r="A13" s="2"/>
      <c r="B13" s="6"/>
      <c r="C13" s="6"/>
      <c r="D13" s="8"/>
    </row>
    <row r="14" spans="1:4" x14ac:dyDescent="0.25">
      <c r="A14" s="2">
        <v>45504</v>
      </c>
      <c r="B14" s="6">
        <v>0.108</v>
      </c>
      <c r="C14" s="6">
        <v>1.2200000000000001E-2</v>
      </c>
      <c r="D14" s="8"/>
    </row>
    <row r="15" spans="1:4" x14ac:dyDescent="0.25">
      <c r="A15" s="2">
        <v>45535</v>
      </c>
      <c r="B15" s="6">
        <v>-1.44E-2</v>
      </c>
      <c r="C15" s="6">
        <v>2.4299999999999999E-2</v>
      </c>
      <c r="D15" s="8"/>
    </row>
    <row r="16" spans="1:4" x14ac:dyDescent="0.25">
      <c r="A16" s="2">
        <v>45565</v>
      </c>
      <c r="B16" s="6">
        <v>8.5000000000000006E-3</v>
      </c>
      <c r="C16" s="6">
        <v>2.1399999999999999E-2</v>
      </c>
      <c r="D16" s="8"/>
    </row>
    <row r="17" spans="1:5" x14ac:dyDescent="0.25">
      <c r="A17" s="2" t="s">
        <v>63</v>
      </c>
      <c r="B17" s="26">
        <f>FVSCHEDULE(1,B14:B16)-1</f>
        <v>0.10132718080000003</v>
      </c>
      <c r="C17" s="26">
        <f>FVSCHEDULE(1,C14:C16)-1</f>
        <v>5.8983904243999907E-2</v>
      </c>
      <c r="D17" s="27">
        <f t="shared" si="0"/>
        <v>8.4389870177599968E-2</v>
      </c>
    </row>
    <row r="18" spans="1:5" x14ac:dyDescent="0.25">
      <c r="A18" s="2"/>
      <c r="B18" s="6"/>
      <c r="C18" s="6"/>
      <c r="D18" s="8"/>
    </row>
    <row r="19" spans="1:5" x14ac:dyDescent="0.25">
      <c r="A19" s="2">
        <v>45596</v>
      </c>
      <c r="B19" s="6">
        <v>-2.64E-2</v>
      </c>
      <c r="C19" s="6">
        <v>-9.1000000000000004E-3</v>
      </c>
      <c r="D19" s="8"/>
    </row>
    <row r="20" spans="1:5" x14ac:dyDescent="0.25">
      <c r="A20" s="2">
        <v>45626</v>
      </c>
      <c r="B20" s="6">
        <v>0.1094</v>
      </c>
      <c r="C20" s="6">
        <v>5.8700000000000002E-2</v>
      </c>
      <c r="D20" s="8"/>
    </row>
    <row r="21" spans="1:5" x14ac:dyDescent="0.25">
      <c r="A21" s="2">
        <v>45657</v>
      </c>
      <c r="B21" s="6">
        <v>-7.9500000000000001E-2</v>
      </c>
      <c r="C21" s="6">
        <v>-2.3800000000000002E-2</v>
      </c>
      <c r="D21" s="8"/>
    </row>
    <row r="22" spans="1:5" x14ac:dyDescent="0.25">
      <c r="A22" s="2" t="s">
        <v>64</v>
      </c>
      <c r="B22" s="26">
        <f>FVSCHEDULE(1,B19:B21)-1</f>
        <v>-5.7570512799999252E-3</v>
      </c>
      <c r="C22" s="26">
        <f>FVSCHEDULE(1,C19:C21)-1</f>
        <v>2.4098063245999946E-2</v>
      </c>
      <c r="D22" s="27">
        <f t="shared" si="0"/>
        <v>6.1849945304000252E-3</v>
      </c>
    </row>
    <row r="23" spans="1:5" x14ac:dyDescent="0.25">
      <c r="A23" s="2"/>
      <c r="B23" s="6"/>
      <c r="C23" s="6"/>
      <c r="D23" s="8"/>
    </row>
    <row r="24" spans="1:5" x14ac:dyDescent="0.25">
      <c r="A24" s="2" t="s">
        <v>59</v>
      </c>
      <c r="B24" s="26">
        <f>(1+B7)*(1+B12)*(1+B17)*(1+B22)-1</f>
        <v>8.693305753746694E-2</v>
      </c>
      <c r="C24" s="26">
        <f t="shared" ref="C24:D24" si="1">(1+C7)*(1+C12)*(1+C17)*(1+C22)-1</f>
        <v>0.25047333560819185</v>
      </c>
      <c r="D24" s="26">
        <f t="shared" si="1"/>
        <v>0.15150176726036602</v>
      </c>
    </row>
    <row r="26" spans="1:5" x14ac:dyDescent="0.25">
      <c r="A26" s="18" t="s">
        <v>113</v>
      </c>
    </row>
    <row r="27" spans="1:5" ht="120" customHeight="1" x14ac:dyDescent="0.25">
      <c r="A27" s="73" t="s">
        <v>175</v>
      </c>
      <c r="B27" s="73"/>
      <c r="C27" s="73"/>
      <c r="D27" s="73"/>
      <c r="E27" s="73"/>
    </row>
  </sheetData>
  <mergeCells count="1">
    <mergeCell ref="A27:E2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E526A-6D79-4C6C-88AA-E1571FC7C1BC}">
  <sheetPr>
    <tabColor rgb="FF00B050"/>
  </sheetPr>
  <dimension ref="A1:J25"/>
  <sheetViews>
    <sheetView workbookViewId="0"/>
  </sheetViews>
  <sheetFormatPr defaultRowHeight="15" x14ac:dyDescent="0.25"/>
  <cols>
    <col min="1" max="1" width="48.42578125" customWidth="1"/>
    <col min="2" max="2" width="19.5703125" customWidth="1"/>
    <col min="5" max="5" width="44.5703125" customWidth="1"/>
    <col min="6" max="6" width="18.85546875" bestFit="1" customWidth="1"/>
    <col min="7" max="7" width="8.7109375" customWidth="1"/>
    <col min="8" max="8" width="21.5703125" bestFit="1" customWidth="1"/>
  </cols>
  <sheetData>
    <row r="1" spans="1:10" x14ac:dyDescent="0.25">
      <c r="A1" s="18" t="s">
        <v>164</v>
      </c>
    </row>
    <row r="2" spans="1:10" x14ac:dyDescent="0.25">
      <c r="A2" s="18" t="s">
        <v>85</v>
      </c>
      <c r="E2" s="18" t="s">
        <v>88</v>
      </c>
    </row>
    <row r="3" spans="1:10" x14ac:dyDescent="0.25">
      <c r="A3" s="4" t="s">
        <v>65</v>
      </c>
      <c r="B3" s="4" t="s">
        <v>66</v>
      </c>
      <c r="C3" s="4" t="s">
        <v>67</v>
      </c>
      <c r="E3" s="4" t="s">
        <v>65</v>
      </c>
      <c r="F3" s="4" t="s">
        <v>66</v>
      </c>
      <c r="G3" s="4" t="s">
        <v>67</v>
      </c>
    </row>
    <row r="4" spans="1:10" x14ac:dyDescent="0.25">
      <c r="A4" s="28" t="s">
        <v>40</v>
      </c>
      <c r="B4" s="2">
        <v>45322</v>
      </c>
      <c r="C4" s="6">
        <v>-3.95E-2</v>
      </c>
      <c r="E4" s="28" t="s">
        <v>40</v>
      </c>
      <c r="F4" s="2">
        <v>45322</v>
      </c>
      <c r="G4" s="6">
        <v>-3.95E-2</v>
      </c>
    </row>
    <row r="5" spans="1:10" x14ac:dyDescent="0.25">
      <c r="A5" s="28" t="s">
        <v>40</v>
      </c>
      <c r="B5" s="2">
        <v>45351</v>
      </c>
      <c r="C5" s="6">
        <v>3.32E-2</v>
      </c>
      <c r="E5" s="28" t="s">
        <v>40</v>
      </c>
      <c r="F5" s="2">
        <v>45351</v>
      </c>
      <c r="G5" s="6">
        <v>3.32E-2</v>
      </c>
    </row>
    <row r="6" spans="1:10" x14ac:dyDescent="0.25">
      <c r="A6" s="28" t="s">
        <v>40</v>
      </c>
      <c r="B6" s="2">
        <v>45382</v>
      </c>
      <c r="C6" s="6">
        <v>3.2399999999999998E-2</v>
      </c>
      <c r="E6" s="28" t="s">
        <v>40</v>
      </c>
      <c r="F6" s="2">
        <v>45382</v>
      </c>
      <c r="G6" s="6">
        <v>3.2399999999999998E-2</v>
      </c>
    </row>
    <row r="7" spans="1:10" x14ac:dyDescent="0.25">
      <c r="A7" s="28" t="s">
        <v>40</v>
      </c>
      <c r="B7" s="2">
        <v>45412</v>
      </c>
      <c r="C7" s="6">
        <v>-5.6099999999999997E-2</v>
      </c>
      <c r="E7" s="28" t="s">
        <v>40</v>
      </c>
      <c r="F7" s="2">
        <v>45412</v>
      </c>
      <c r="G7" s="6">
        <v>-5.6099999999999997E-2</v>
      </c>
    </row>
    <row r="8" spans="1:10" x14ac:dyDescent="0.25">
      <c r="A8" s="28" t="s">
        <v>40</v>
      </c>
      <c r="B8" s="2">
        <v>45443</v>
      </c>
      <c r="C8" s="6">
        <v>5.04E-2</v>
      </c>
      <c r="E8" s="28" t="s">
        <v>40</v>
      </c>
      <c r="F8" s="2">
        <v>45443</v>
      </c>
      <c r="G8" s="6">
        <v>5.04E-2</v>
      </c>
    </row>
    <row r="9" spans="1:10" x14ac:dyDescent="0.25">
      <c r="A9" s="29" t="s">
        <v>47</v>
      </c>
      <c r="B9" s="2">
        <v>45473</v>
      </c>
      <c r="C9" s="6">
        <v>-1.0839898943544646E-2</v>
      </c>
      <c r="E9" s="28" t="s">
        <v>40</v>
      </c>
      <c r="F9" t="s">
        <v>86</v>
      </c>
      <c r="G9" s="8">
        <v>1.12E-2</v>
      </c>
    </row>
    <row r="10" spans="1:10" x14ac:dyDescent="0.25">
      <c r="A10" s="29" t="s">
        <v>47</v>
      </c>
      <c r="B10" s="2">
        <v>45504</v>
      </c>
      <c r="C10" s="6">
        <v>0.10098696580048738</v>
      </c>
      <c r="E10" s="29" t="s">
        <v>47</v>
      </c>
      <c r="F10" s="2" t="s">
        <v>87</v>
      </c>
      <c r="G10" s="6">
        <v>-7.4999999999999997E-3</v>
      </c>
      <c r="H10" s="51"/>
    </row>
    <row r="11" spans="1:10" x14ac:dyDescent="0.25">
      <c r="A11" s="29" t="s">
        <v>47</v>
      </c>
      <c r="B11" s="2">
        <v>45535</v>
      </c>
      <c r="C11" s="6">
        <v>-1.634523260352716E-2</v>
      </c>
      <c r="E11" s="29" t="s">
        <v>47</v>
      </c>
      <c r="F11" s="2">
        <v>45504</v>
      </c>
      <c r="G11" s="6">
        <v>0.10098696580048738</v>
      </c>
    </row>
    <row r="12" spans="1:10" x14ac:dyDescent="0.25">
      <c r="A12" s="29" t="s">
        <v>47</v>
      </c>
      <c r="B12" s="2">
        <v>45565</v>
      </c>
      <c r="C12" s="6">
        <v>5.5644990372603065E-3</v>
      </c>
      <c r="E12" s="29" t="s">
        <v>47</v>
      </c>
      <c r="F12" s="2">
        <v>45535</v>
      </c>
      <c r="G12" s="6">
        <v>-1.634523260352716E-2</v>
      </c>
    </row>
    <row r="13" spans="1:10" x14ac:dyDescent="0.25">
      <c r="A13" s="29" t="s">
        <v>47</v>
      </c>
      <c r="B13" s="2">
        <v>45596</v>
      </c>
      <c r="C13" s="6">
        <v>-1.4941905048049819E-2</v>
      </c>
      <c r="E13" s="29" t="s">
        <v>47</v>
      </c>
      <c r="F13" s="2">
        <v>45565</v>
      </c>
      <c r="G13" s="6">
        <v>5.5644990372603065E-3</v>
      </c>
      <c r="J13" s="35"/>
    </row>
    <row r="14" spans="1:10" x14ac:dyDescent="0.25">
      <c r="A14" s="29" t="s">
        <v>47</v>
      </c>
      <c r="B14" s="2">
        <v>45626</v>
      </c>
      <c r="C14" s="6">
        <v>0.10838321990303412</v>
      </c>
      <c r="E14" s="29" t="s">
        <v>47</v>
      </c>
      <c r="F14" s="2">
        <v>45596</v>
      </c>
      <c r="G14" s="6">
        <v>-1.4941905048049819E-2</v>
      </c>
    </row>
    <row r="15" spans="1:10" x14ac:dyDescent="0.25">
      <c r="A15" s="29" t="s">
        <v>47</v>
      </c>
      <c r="B15" s="2">
        <v>45657</v>
      </c>
      <c r="C15" s="6">
        <v>-8.4021636896082996E-2</v>
      </c>
      <c r="E15" s="29" t="s">
        <v>47</v>
      </c>
      <c r="F15" s="2">
        <v>45626</v>
      </c>
      <c r="G15" s="6">
        <v>0.10838321990303412</v>
      </c>
    </row>
    <row r="16" spans="1:10" x14ac:dyDescent="0.25">
      <c r="A16" t="s">
        <v>83</v>
      </c>
      <c r="C16" s="26">
        <f>FVSCHEDULE(1,C4:C15)-1</f>
        <v>9.4331409903729346E-2</v>
      </c>
      <c r="E16" s="29" t="s">
        <v>47</v>
      </c>
      <c r="F16" s="2">
        <v>45657</v>
      </c>
      <c r="G16" s="6">
        <v>-8.4021636896082996E-2</v>
      </c>
    </row>
    <row r="17" spans="1:7" x14ac:dyDescent="0.25">
      <c r="E17" t="s">
        <v>83</v>
      </c>
      <c r="G17" s="26">
        <f>FVSCHEDULE(1,G4:G16)-1</f>
        <v>0.11032431565823697</v>
      </c>
    </row>
    <row r="19" spans="1:7" x14ac:dyDescent="0.25">
      <c r="A19" s="18" t="s">
        <v>113</v>
      </c>
      <c r="E19" s="18" t="s">
        <v>113</v>
      </c>
    </row>
    <row r="20" spans="1:7" ht="45" x14ac:dyDescent="0.25">
      <c r="A20" s="13" t="s">
        <v>179</v>
      </c>
      <c r="E20" s="13" t="s">
        <v>180</v>
      </c>
    </row>
    <row r="24" spans="1:7" x14ac:dyDescent="0.25">
      <c r="A24" t="s">
        <v>105</v>
      </c>
    </row>
    <row r="25" spans="1:7" x14ac:dyDescent="0.25">
      <c r="A25" t="s">
        <v>106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7FBFD-0E35-4B91-8A09-58BD9EDD2C75}">
  <sheetPr>
    <tabColor rgb="FF00B050"/>
  </sheetPr>
  <dimension ref="A1:L27"/>
  <sheetViews>
    <sheetView workbookViewId="0"/>
  </sheetViews>
  <sheetFormatPr defaultRowHeight="15" x14ac:dyDescent="0.25"/>
  <cols>
    <col min="1" max="1" width="10.42578125" bestFit="1" customWidth="1"/>
    <col min="2" max="2" width="11" bestFit="1" customWidth="1"/>
    <col min="3" max="3" width="10.85546875" bestFit="1" customWidth="1"/>
    <col min="4" max="4" width="11" bestFit="1" customWidth="1"/>
    <col min="5" max="5" width="3.28515625" customWidth="1"/>
    <col min="6" max="6" width="10.42578125" bestFit="1" customWidth="1"/>
    <col min="7" max="7" width="11" bestFit="1" customWidth="1"/>
    <col min="8" max="8" width="10.85546875" bestFit="1" customWidth="1"/>
    <col min="9" max="9" width="11" bestFit="1" customWidth="1"/>
  </cols>
  <sheetData>
    <row r="1" spans="1:9" x14ac:dyDescent="0.25">
      <c r="A1" s="18" t="s">
        <v>165</v>
      </c>
    </row>
    <row r="2" spans="1:9" x14ac:dyDescent="0.25">
      <c r="A2" s="75" t="s">
        <v>93</v>
      </c>
      <c r="B2" s="75"/>
      <c r="C2" s="75"/>
      <c r="D2" s="75"/>
      <c r="F2" s="75" t="s">
        <v>94</v>
      </c>
      <c r="G2" s="75"/>
      <c r="H2" s="75"/>
      <c r="I2" s="75"/>
    </row>
    <row r="4" spans="1:9" x14ac:dyDescent="0.25">
      <c r="A4" s="74" t="s">
        <v>68</v>
      </c>
      <c r="B4" s="74"/>
      <c r="C4" s="74"/>
      <c r="D4" s="6">
        <v>5.0000000000000001E-3</v>
      </c>
      <c r="F4" s="74" t="s">
        <v>68</v>
      </c>
      <c r="G4" s="74"/>
      <c r="H4" s="74"/>
      <c r="I4" s="6">
        <v>5.0000000000000001E-3</v>
      </c>
    </row>
    <row r="6" spans="1:9" x14ac:dyDescent="0.25">
      <c r="C6" t="s">
        <v>69</v>
      </c>
      <c r="H6" t="s">
        <v>95</v>
      </c>
    </row>
    <row r="7" spans="1:9" x14ac:dyDescent="0.25">
      <c r="B7" t="s">
        <v>70</v>
      </c>
      <c r="C7" t="s">
        <v>71</v>
      </c>
      <c r="D7" t="s">
        <v>70</v>
      </c>
      <c r="G7" t="s">
        <v>70</v>
      </c>
      <c r="H7" t="s">
        <v>71</v>
      </c>
      <c r="I7" t="s">
        <v>70</v>
      </c>
    </row>
    <row r="8" spans="1:9" x14ac:dyDescent="0.25">
      <c r="A8" s="30" t="s">
        <v>66</v>
      </c>
      <c r="B8" s="4" t="s">
        <v>67</v>
      </c>
      <c r="C8" s="4" t="s">
        <v>72</v>
      </c>
      <c r="D8" s="4" t="s">
        <v>73</v>
      </c>
      <c r="F8" s="30" t="s">
        <v>66</v>
      </c>
      <c r="G8" s="4" t="s">
        <v>67</v>
      </c>
      <c r="H8" s="4" t="s">
        <v>72</v>
      </c>
      <c r="I8" s="4" t="s">
        <v>73</v>
      </c>
    </row>
    <row r="9" spans="1:9" x14ac:dyDescent="0.25">
      <c r="A9" s="2">
        <v>45322</v>
      </c>
      <c r="B9" s="6">
        <v>1.6799999999999999E-2</v>
      </c>
      <c r="C9" s="38">
        <f t="shared" ref="C9:C20" si="0">$D$4/12</f>
        <v>4.1666666666666669E-4</v>
      </c>
      <c r="D9" s="8">
        <f>B9-C9</f>
        <v>1.6383333333333333E-2</v>
      </c>
      <c r="F9" s="2">
        <v>45322</v>
      </c>
      <c r="G9" s="6">
        <v>1.6799999999999999E-2</v>
      </c>
      <c r="H9" s="38">
        <f>(1+$I$4)^(1/12)-1</f>
        <v>4.1571484472902043E-4</v>
      </c>
      <c r="I9" s="52">
        <f t="shared" ref="I9:I20" si="1">(1+G9)/(1+H9)-1</f>
        <v>1.6377476795047974E-2</v>
      </c>
    </row>
    <row r="10" spans="1:9" x14ac:dyDescent="0.25">
      <c r="A10" s="2">
        <v>45351</v>
      </c>
      <c r="B10" s="6">
        <v>1.34E-2</v>
      </c>
      <c r="C10" s="38">
        <f t="shared" si="0"/>
        <v>4.1666666666666669E-4</v>
      </c>
      <c r="D10" s="8">
        <f t="shared" ref="D10:D20" si="2">B10-C10</f>
        <v>1.2983333333333335E-2</v>
      </c>
      <c r="F10" s="2">
        <v>45351</v>
      </c>
      <c r="G10" s="6">
        <v>1.34E-2</v>
      </c>
      <c r="H10" s="38">
        <f t="shared" ref="H10:H20" si="3">(1+$I$4)^(1/12)-1</f>
        <v>4.1571484472902043E-4</v>
      </c>
      <c r="I10" s="52">
        <f t="shared" si="1"/>
        <v>1.2978889638180391E-2</v>
      </c>
    </row>
    <row r="11" spans="1:9" x14ac:dyDescent="0.25">
      <c r="A11" s="2">
        <v>45382</v>
      </c>
      <c r="B11" s="6">
        <v>3.2199999999999999E-2</v>
      </c>
      <c r="C11" s="38">
        <f t="shared" si="0"/>
        <v>4.1666666666666669E-4</v>
      </c>
      <c r="D11" s="8">
        <f t="shared" si="2"/>
        <v>3.178333333333333E-2</v>
      </c>
      <c r="F11" s="2">
        <v>45382</v>
      </c>
      <c r="G11" s="6">
        <v>3.2199999999999999E-2</v>
      </c>
      <c r="H11" s="38">
        <f t="shared" si="3"/>
        <v>4.1571484472902043E-4</v>
      </c>
      <c r="I11" s="52">
        <f t="shared" si="1"/>
        <v>3.1771077446743234E-2</v>
      </c>
    </row>
    <row r="12" spans="1:9" x14ac:dyDescent="0.25">
      <c r="A12" s="2">
        <v>45412</v>
      </c>
      <c r="B12" s="6">
        <v>-4.0800000000000003E-2</v>
      </c>
      <c r="C12" s="38">
        <f t="shared" si="0"/>
        <v>4.1666666666666669E-4</v>
      </c>
      <c r="D12" s="8">
        <f t="shared" si="2"/>
        <v>-4.1216666666666672E-2</v>
      </c>
      <c r="F12" s="2">
        <v>45412</v>
      </c>
      <c r="G12" s="6">
        <v>-4.0800000000000003E-2</v>
      </c>
      <c r="H12" s="38">
        <f t="shared" si="3"/>
        <v>4.1571484472902043E-4</v>
      </c>
      <c r="I12" s="52">
        <f t="shared" si="1"/>
        <v>-4.1198587980123769E-2</v>
      </c>
    </row>
    <row r="13" spans="1:9" x14ac:dyDescent="0.25">
      <c r="A13" s="2">
        <v>45443</v>
      </c>
      <c r="B13" s="6">
        <v>2.9600000000000001E-2</v>
      </c>
      <c r="C13" s="38">
        <f t="shared" si="0"/>
        <v>4.1666666666666669E-4</v>
      </c>
      <c r="D13" s="8">
        <f t="shared" si="2"/>
        <v>2.9183333333333335E-2</v>
      </c>
      <c r="F13" s="2">
        <v>45443</v>
      </c>
      <c r="G13" s="6">
        <v>2.9600000000000001E-2</v>
      </c>
      <c r="H13" s="38">
        <f t="shared" si="3"/>
        <v>4.1571484472902043E-4</v>
      </c>
      <c r="I13" s="52">
        <f t="shared" si="1"/>
        <v>2.9172157856197423E-2</v>
      </c>
    </row>
    <row r="14" spans="1:9" x14ac:dyDescent="0.25">
      <c r="A14" s="2">
        <v>45473</v>
      </c>
      <c r="B14" s="6">
        <v>3.5900000000000001E-2</v>
      </c>
      <c r="C14" s="38">
        <f t="shared" si="0"/>
        <v>4.1666666666666669E-4</v>
      </c>
      <c r="D14" s="8">
        <f t="shared" si="2"/>
        <v>3.5483333333333332E-2</v>
      </c>
      <c r="F14" s="2">
        <v>45473</v>
      </c>
      <c r="G14" s="6">
        <v>3.5900000000000001E-2</v>
      </c>
      <c r="H14" s="38">
        <f t="shared" si="3"/>
        <v>4.1571484472902043E-4</v>
      </c>
      <c r="I14" s="52">
        <f t="shared" si="1"/>
        <v>3.5469539940981898E-2</v>
      </c>
    </row>
    <row r="15" spans="1:9" x14ac:dyDescent="0.25">
      <c r="A15" s="2">
        <v>45504</v>
      </c>
      <c r="B15" s="6">
        <v>1.2200000000000001E-2</v>
      </c>
      <c r="C15" s="38">
        <f t="shared" si="0"/>
        <v>4.1666666666666669E-4</v>
      </c>
      <c r="D15" s="8">
        <f t="shared" si="2"/>
        <v>1.1783333333333335E-2</v>
      </c>
      <c r="F15" s="2">
        <v>45504</v>
      </c>
      <c r="G15" s="6">
        <v>1.2200000000000001E-2</v>
      </c>
      <c r="H15" s="38">
        <f t="shared" si="3"/>
        <v>4.1571484472902043E-4</v>
      </c>
      <c r="I15" s="52">
        <f t="shared" si="1"/>
        <v>1.1779388288697623E-2</v>
      </c>
    </row>
    <row r="16" spans="1:9" x14ac:dyDescent="0.25">
      <c r="A16" s="2">
        <v>45535</v>
      </c>
      <c r="B16" s="6">
        <v>2.4299999999999999E-2</v>
      </c>
      <c r="C16" s="38">
        <f t="shared" si="0"/>
        <v>4.1666666666666669E-4</v>
      </c>
      <c r="D16" s="8">
        <f t="shared" si="2"/>
        <v>2.3883333333333333E-2</v>
      </c>
      <c r="F16" s="2">
        <v>45535</v>
      </c>
      <c r="G16" s="6">
        <v>2.4299999999999999E-2</v>
      </c>
      <c r="H16" s="38">
        <f t="shared" si="3"/>
        <v>4.1571484472902043E-4</v>
      </c>
      <c r="I16" s="52">
        <f t="shared" si="1"/>
        <v>2.3874360229315217E-2</v>
      </c>
    </row>
    <row r="17" spans="1:12" x14ac:dyDescent="0.25">
      <c r="A17" s="2">
        <v>45565</v>
      </c>
      <c r="B17" s="6">
        <v>2.1399999999999999E-2</v>
      </c>
      <c r="C17" s="38">
        <f t="shared" si="0"/>
        <v>4.1666666666666669E-4</v>
      </c>
      <c r="D17" s="8">
        <f t="shared" si="2"/>
        <v>2.0983333333333333E-2</v>
      </c>
      <c r="F17" s="2">
        <v>45565</v>
      </c>
      <c r="G17" s="6">
        <v>2.1399999999999999E-2</v>
      </c>
      <c r="H17" s="38">
        <f t="shared" si="3"/>
        <v>4.1571484472902043E-4</v>
      </c>
      <c r="I17" s="52">
        <f t="shared" si="1"/>
        <v>2.0975565301398769E-2</v>
      </c>
    </row>
    <row r="18" spans="1:12" x14ac:dyDescent="0.25">
      <c r="A18" s="2">
        <v>45596</v>
      </c>
      <c r="B18" s="6">
        <v>-9.1000000000000004E-3</v>
      </c>
      <c r="C18" s="38">
        <f t="shared" si="0"/>
        <v>4.1666666666666669E-4</v>
      </c>
      <c r="D18" s="8">
        <f t="shared" si="2"/>
        <v>-9.5166666666666663E-3</v>
      </c>
      <c r="F18" s="2">
        <v>45596</v>
      </c>
      <c r="G18" s="6">
        <v>-9.1000000000000004E-3</v>
      </c>
      <c r="H18" s="38">
        <f t="shared" si="3"/>
        <v>4.1571484472902043E-4</v>
      </c>
      <c r="I18" s="52">
        <f t="shared" si="1"/>
        <v>-9.5117606646212272E-3</v>
      </c>
    </row>
    <row r="19" spans="1:12" x14ac:dyDescent="0.25">
      <c r="A19" s="2">
        <v>45626</v>
      </c>
      <c r="B19" s="6">
        <v>0.02</v>
      </c>
      <c r="C19" s="38">
        <f t="shared" si="0"/>
        <v>4.1666666666666669E-4</v>
      </c>
      <c r="D19" s="8">
        <f t="shared" si="2"/>
        <v>1.9583333333333335E-2</v>
      </c>
      <c r="F19" s="2">
        <v>45626</v>
      </c>
      <c r="G19" s="6">
        <v>0.02</v>
      </c>
      <c r="H19" s="38">
        <f t="shared" si="3"/>
        <v>4.1571484472902043E-4</v>
      </c>
      <c r="I19" s="52">
        <f t="shared" si="1"/>
        <v>1.9576147060335503E-2</v>
      </c>
    </row>
    <row r="20" spans="1:12" x14ac:dyDescent="0.25">
      <c r="A20" s="2">
        <v>45657</v>
      </c>
      <c r="B20" s="6">
        <v>-2.3800000000000002E-2</v>
      </c>
      <c r="C20" s="38">
        <f t="shared" si="0"/>
        <v>4.1666666666666669E-4</v>
      </c>
      <c r="D20" s="8">
        <f t="shared" si="2"/>
        <v>-2.4216666666666668E-2</v>
      </c>
      <c r="F20" s="2">
        <v>45657</v>
      </c>
      <c r="G20" s="6">
        <v>-2.3800000000000002E-2</v>
      </c>
      <c r="H20" s="38">
        <f t="shared" si="3"/>
        <v>4.1571484472902043E-4</v>
      </c>
      <c r="I20" s="52">
        <f t="shared" si="1"/>
        <v>-2.4205652195784966E-2</v>
      </c>
    </row>
    <row r="21" spans="1:12" x14ac:dyDescent="0.25">
      <c r="B21" s="26">
        <f>FVSCHEDULE(1,B9:B20)-1</f>
        <v>0.13693069555998405</v>
      </c>
      <c r="D21" s="26">
        <f>FVSCHEDULE(1,D9:D20)-1</f>
        <v>0.13131779946667543</v>
      </c>
      <c r="G21" s="26">
        <f>FVSCHEDULE(1,G9:G20)-1</f>
        <v>0.13693069555998405</v>
      </c>
      <c r="I21" s="26">
        <f>FVSCHEDULE(1,I9:I20)-1</f>
        <v>0.13127432394028293</v>
      </c>
    </row>
    <row r="23" spans="1:12" x14ac:dyDescent="0.25">
      <c r="B23" s="8"/>
      <c r="D23" s="38"/>
      <c r="G23" s="8"/>
      <c r="I23" s="38"/>
      <c r="L23" s="52"/>
    </row>
    <row r="24" spans="1:12" x14ac:dyDescent="0.25">
      <c r="A24" t="s">
        <v>122</v>
      </c>
      <c r="B24" s="8"/>
      <c r="D24" s="38"/>
      <c r="G24" s="8"/>
      <c r="I24" s="38"/>
      <c r="L24" s="52"/>
    </row>
    <row r="25" spans="1:12" x14ac:dyDescent="0.25">
      <c r="A25" t="s">
        <v>181</v>
      </c>
      <c r="B25" s="53"/>
      <c r="G25" s="53"/>
    </row>
    <row r="26" spans="1:12" x14ac:dyDescent="0.25">
      <c r="A26" t="s">
        <v>123</v>
      </c>
      <c r="B26" s="53"/>
      <c r="G26" s="53"/>
    </row>
    <row r="27" spans="1:12" x14ac:dyDescent="0.25">
      <c r="A27" t="s">
        <v>119</v>
      </c>
    </row>
  </sheetData>
  <mergeCells count="4">
    <mergeCell ref="A4:C4"/>
    <mergeCell ref="A2:D2"/>
    <mergeCell ref="F2:I2"/>
    <mergeCell ref="F4:H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5CF2C-4E04-408B-962B-E4542E6F48C2}">
  <sheetPr>
    <tabColor rgb="FF00B050"/>
  </sheetPr>
  <dimension ref="A1:E20"/>
  <sheetViews>
    <sheetView workbookViewId="0"/>
  </sheetViews>
  <sheetFormatPr defaultRowHeight="15" x14ac:dyDescent="0.25"/>
  <cols>
    <col min="1" max="1" width="31.42578125" bestFit="1" customWidth="1"/>
    <col min="2" max="4" width="14.7109375" customWidth="1"/>
    <col min="5" max="5" width="11.5703125" customWidth="1"/>
  </cols>
  <sheetData>
    <row r="1" spans="1:5" x14ac:dyDescent="0.25">
      <c r="A1" s="18" t="s">
        <v>166</v>
      </c>
    </row>
    <row r="2" spans="1:5" x14ac:dyDescent="0.25">
      <c r="A2" s="18" t="s">
        <v>182</v>
      </c>
      <c r="B2" s="31">
        <v>0.65</v>
      </c>
      <c r="C2" s="31">
        <v>0.4</v>
      </c>
      <c r="D2" s="31">
        <v>-0.05</v>
      </c>
      <c r="E2" s="31">
        <v>1</v>
      </c>
    </row>
    <row r="3" spans="1:5" ht="30" x14ac:dyDescent="0.25">
      <c r="B3" s="1" t="s">
        <v>74</v>
      </c>
      <c r="C3" s="1" t="s">
        <v>75</v>
      </c>
      <c r="D3" s="12" t="s">
        <v>76</v>
      </c>
      <c r="E3" s="12" t="s">
        <v>35</v>
      </c>
    </row>
    <row r="4" spans="1:5" x14ac:dyDescent="0.25">
      <c r="A4" s="2">
        <v>45322</v>
      </c>
      <c r="B4" s="6">
        <v>-3.95E-2</v>
      </c>
      <c r="C4" s="6">
        <v>3.8278997962106764E-2</v>
      </c>
      <c r="D4" s="32">
        <v>1.745E-3</v>
      </c>
      <c r="E4" s="6">
        <f>$B$2*FVSCHEDULE(1,$B$4:B4)+$C$2*FVSCHEDULE(1,$C$4:C4)+$D$2*FVSCHEDULE(1,$D$4:D4)-1</f>
        <v>-1.045065081515717E-2</v>
      </c>
    </row>
    <row r="5" spans="1:5" x14ac:dyDescent="0.25">
      <c r="A5" s="2">
        <v>45351</v>
      </c>
      <c r="B5" s="6">
        <v>3.32E-2</v>
      </c>
      <c r="C5" s="6">
        <v>-2.7461508892872022E-3</v>
      </c>
      <c r="D5" s="32">
        <v>1.745E-3</v>
      </c>
      <c r="E5" s="6">
        <f>(1+($B$2*FVSCHEDULE(1,$B$4:B5)+$C$2*FVSCHEDULE(1,$C$4:C5)+$D$2*FVSCHEDULE(1,$D$4:D5)-1))/(1+($B$2*FVSCHEDULE(1,$B$4:B4)+$C$2*FVSCHEDULE(1,$C$4:C4)+$D$2*FVSCHEDULE(1,$D$4:D4)-1))-1</f>
        <v>1.9705615942631205E-2</v>
      </c>
    </row>
    <row r="6" spans="1:5" x14ac:dyDescent="0.25">
      <c r="A6" s="2">
        <v>45382</v>
      </c>
      <c r="B6" s="6">
        <v>3.2399999999999998E-2</v>
      </c>
      <c r="C6" s="6">
        <v>-1.4128233044790717E-2</v>
      </c>
      <c r="D6" s="32">
        <v>1.745E-3</v>
      </c>
      <c r="E6" s="6">
        <f>(1+($B$2*FVSCHEDULE(1,$B$4:B6)+$C$2*FVSCHEDULE(1,$C$4:C6)+$D$2*FVSCHEDULE(1,$D$4:D6)-1))/(1+($B$2*FVSCHEDULE(1,$B$4:B5)+$C$2*FVSCHEDULE(1,$C$4:C5)+$D$2*FVSCHEDULE(1,$D$4:D5)-1))-1</f>
        <v>1.4826478229852391E-2</v>
      </c>
    </row>
    <row r="7" spans="1:5" x14ac:dyDescent="0.25">
      <c r="A7" s="2">
        <v>45412</v>
      </c>
      <c r="B7" s="6">
        <v>-5.6099999999999997E-2</v>
      </c>
      <c r="C7" s="6">
        <v>9.2339086929789094E-3</v>
      </c>
      <c r="D7" s="32">
        <v>1.745E-3</v>
      </c>
      <c r="E7" s="6">
        <f>(1+($B$2*FVSCHEDULE(1,$B$4:B7)+$C$2*FVSCHEDULE(1,$C$4:C7)+$D$2*FVSCHEDULE(1,$D$4:D7)-1))/(1+($B$2*FVSCHEDULE(1,$B$4:B6)+$C$2*FVSCHEDULE(1,$C$4:C6)+$D$2*FVSCHEDULE(1,$D$4:D6)-1))-1</f>
        <v>-3.2887624395907311E-2</v>
      </c>
    </row>
    <row r="8" spans="1:5" x14ac:dyDescent="0.25">
      <c r="A8" s="2">
        <v>45443</v>
      </c>
      <c r="B8" s="6">
        <v>5.04E-2</v>
      </c>
      <c r="C8" s="6">
        <v>-2.5258493865635168E-2</v>
      </c>
      <c r="D8" s="32">
        <v>1.745E-3</v>
      </c>
      <c r="E8" s="6">
        <f>(1+($B$2*FVSCHEDULE(1,$B$4:B8)+$C$2*FVSCHEDULE(1,$C$4:C8)+$D$2*FVSCHEDULE(1,$D$4:D8)-1))/(1+($B$2*FVSCHEDULE(1,$B$4:B7)+$C$2*FVSCHEDULE(1,$C$4:C7)+$D$2*FVSCHEDULE(1,$D$4:D7)-1))-1</f>
        <v>2.1391224084369886E-2</v>
      </c>
    </row>
    <row r="9" spans="1:5" x14ac:dyDescent="0.25">
      <c r="A9" s="2">
        <v>45473</v>
      </c>
      <c r="B9" s="6">
        <v>-2.2800000000000001E-2</v>
      </c>
      <c r="C9" s="6">
        <v>1.695325900383815E-2</v>
      </c>
      <c r="D9" s="32">
        <v>1.745E-3</v>
      </c>
      <c r="E9" s="6">
        <f>(1+($B$2*FVSCHEDULE(1,$B$4:B9)+$C$2*FVSCHEDULE(1,$C$4:C9)+$D$2*FVSCHEDULE(1,$D$4:D9)-1))/(1+($B$2*FVSCHEDULE(1,$B$4:B8)+$C$2*FVSCHEDULE(1,$C$4:C8)+$D$2*FVSCHEDULE(1,$D$4:D8)-1))-1</f>
        <v>-8.2375717470650756E-3</v>
      </c>
    </row>
    <row r="10" spans="1:5" x14ac:dyDescent="0.25">
      <c r="A10" s="2">
        <v>45504</v>
      </c>
      <c r="B10" s="6">
        <v>0.108</v>
      </c>
      <c r="C10" s="6">
        <v>9.4672898494245761E-3</v>
      </c>
      <c r="D10" s="32">
        <v>1.745E-3</v>
      </c>
      <c r="E10" s="6">
        <f>(1+($B$2*FVSCHEDULE(1,$B$4:B10)+$C$2*FVSCHEDULE(1,$C$4:C10)+$D$2*FVSCHEDULE(1,$D$4:D10)-1))/(1+($B$2*FVSCHEDULE(1,$B$4:B9)+$C$2*FVSCHEDULE(1,$C$4:C9)+$D$2*FVSCHEDULE(1,$D$4:D9)-1))-1</f>
        <v>7.3229615041228158E-2</v>
      </c>
    </row>
    <row r="11" spans="1:5" x14ac:dyDescent="0.25">
      <c r="A11" s="2">
        <v>45535</v>
      </c>
      <c r="B11" s="6">
        <v>-1.44E-2</v>
      </c>
      <c r="C11" s="6">
        <v>2.3357014473998516E-2</v>
      </c>
      <c r="D11" s="32">
        <v>1.745E-3</v>
      </c>
      <c r="E11" s="6">
        <f>(1+($B$2*FVSCHEDULE(1,$B$4:B11)+$C$2*FVSCHEDULE(1,$C$4:C11)+$D$2*FVSCHEDULE(1,$D$4:D11)-1))/(1+($B$2*FVSCHEDULE(1,$B$4:B10)+$C$2*FVSCHEDULE(1,$C$4:C10)+$D$2*FVSCHEDULE(1,$D$4:D10)-1))-1</f>
        <v>-6.9796646710806876E-4</v>
      </c>
    </row>
    <row r="12" spans="1:5" x14ac:dyDescent="0.25">
      <c r="A12" s="2">
        <v>45565</v>
      </c>
      <c r="B12" s="6">
        <v>8.5000000000000006E-3</v>
      </c>
      <c r="C12" s="6">
        <v>1.4369876557483119E-2</v>
      </c>
      <c r="D12" s="32">
        <v>1.745E-3</v>
      </c>
      <c r="E12" s="6">
        <f>(1+($B$2*FVSCHEDULE(1,$B$4:B12)+$C$2*FVSCHEDULE(1,$C$4:C12)+$D$2*FVSCHEDULE(1,$D$4:D12)-1))/(1+($B$2*FVSCHEDULE(1,$B$4:B11)+$C$2*FVSCHEDULE(1,$C$4:C11)+$D$2*FVSCHEDULE(1,$D$4:D11)-1))-1</f>
        <v>1.1120627249173953E-2</v>
      </c>
    </row>
    <row r="13" spans="1:5" x14ac:dyDescent="0.25">
      <c r="A13" s="2">
        <v>45596</v>
      </c>
      <c r="B13" s="6">
        <v>-2.64E-2</v>
      </c>
      <c r="C13" s="6">
        <v>1.3389351508219738E-2</v>
      </c>
      <c r="D13" s="32">
        <v>1.7420000000000001E-3</v>
      </c>
      <c r="E13" s="6">
        <f>(1+($B$2*FVSCHEDULE(1,$B$4:B13)+$C$2*FVSCHEDULE(1,$C$4:C13)+$D$2*FVSCHEDULE(1,$D$4:D13)-1))/(1+($B$2*FVSCHEDULE(1,$B$4:B12)+$C$2*FVSCHEDULE(1,$C$4:C12)+$D$2*FVSCHEDULE(1,$D$4:D12)-1))-1</f>
        <v>-1.2057510637414337E-2</v>
      </c>
    </row>
    <row r="14" spans="1:5" x14ac:dyDescent="0.25">
      <c r="A14" s="2">
        <v>45626</v>
      </c>
      <c r="B14" s="6">
        <v>0.1094</v>
      </c>
      <c r="C14" s="6">
        <v>-2.4798850292510499E-2</v>
      </c>
      <c r="D14" s="32">
        <v>1.7359999999999999E-3</v>
      </c>
      <c r="E14" s="6">
        <f>(1+($B$2*FVSCHEDULE(1,$B$4:B14)+$C$2*FVSCHEDULE(1,$C$4:C14)+$D$2*FVSCHEDULE(1,$D$4:D14)-1))/(1+($B$2*FVSCHEDULE(1,$B$4:B13)+$C$2*FVSCHEDULE(1,$C$4:C13)+$D$2*FVSCHEDULE(1,$D$4:D13)-1))-1</f>
        <v>6.0331923746393068E-2</v>
      </c>
    </row>
    <row r="15" spans="1:5" x14ac:dyDescent="0.25">
      <c r="A15" s="2">
        <v>45657</v>
      </c>
      <c r="B15" s="6">
        <v>-7.9500000000000001E-2</v>
      </c>
      <c r="C15" s="6">
        <v>1.0572772440607281E-2</v>
      </c>
      <c r="D15" s="32">
        <v>1.73E-3</v>
      </c>
      <c r="E15" s="6">
        <f>(1+($B$2*FVSCHEDULE(1,$B$4:B15)+$C$2*FVSCHEDULE(1,$C$4:C15)+$D$2*FVSCHEDULE(1,$D$4:D15)-1))/(1+($B$2*FVSCHEDULE(1,$B$4:B14)+$C$2*FVSCHEDULE(1,$C$4:C14)+$D$2*FVSCHEDULE(1,$D$4:D14)-1))-1</f>
        <v>-4.9696880810853328E-2</v>
      </c>
    </row>
    <row r="16" spans="1:5" x14ac:dyDescent="0.25">
      <c r="A16" t="s">
        <v>77</v>
      </c>
      <c r="B16" s="26">
        <f>FVSCHEDULE(1,B4:B15)-1</f>
        <v>8.6933057537466718E-2</v>
      </c>
      <c r="C16" s="26">
        <f t="shared" ref="C16:E16" si="0">FVSCHEDULE(1,C4:C15)-1</f>
        <v>6.8750682575209332E-2</v>
      </c>
      <c r="D16" s="26">
        <f t="shared" si="0"/>
        <v>2.1114622637689706E-2</v>
      </c>
      <c r="E16" s="26">
        <f t="shared" si="0"/>
        <v>8.2951029297552603E-2</v>
      </c>
    </row>
    <row r="17" spans="1:5" x14ac:dyDescent="0.25">
      <c r="B17" s="8"/>
      <c r="C17" s="8"/>
      <c r="D17" s="8"/>
      <c r="E17" s="8"/>
    </row>
    <row r="18" spans="1:5" x14ac:dyDescent="0.25">
      <c r="A18" t="s">
        <v>78</v>
      </c>
      <c r="B18" s="26">
        <f>B16*B2</f>
        <v>5.6506487399353371E-2</v>
      </c>
      <c r="C18" s="26">
        <f t="shared" ref="C18:D18" si="1">C16*C2</f>
        <v>2.7500273030083733E-2</v>
      </c>
      <c r="D18" s="26">
        <f t="shared" si="1"/>
        <v>-1.0557311318844854E-3</v>
      </c>
      <c r="E18" s="26">
        <f>SUM(B18:D18)</f>
        <v>8.2951029297552631E-2</v>
      </c>
    </row>
    <row r="19" spans="1:5" x14ac:dyDescent="0.25">
      <c r="B19" s="32"/>
    </row>
    <row r="20" spans="1:5" x14ac:dyDescent="0.25">
      <c r="D20" s="33"/>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BEEBF-4CF2-4BB9-AB73-AC003A1784AC}">
  <sheetPr>
    <tabColor rgb="FF00B050"/>
  </sheetPr>
  <dimension ref="A1:D371"/>
  <sheetViews>
    <sheetView workbookViewId="0">
      <pane xSplit="1" ySplit="4" topLeftCell="B356" activePane="bottomRight" state="frozen"/>
      <selection activeCell="B12" sqref="B12"/>
      <selection pane="topRight" activeCell="B12" sqref="B12"/>
      <selection pane="bottomLeft" activeCell="B12" sqref="B12"/>
      <selection pane="bottomRight"/>
    </sheetView>
  </sheetViews>
  <sheetFormatPr defaultRowHeight="15" x14ac:dyDescent="0.25"/>
  <cols>
    <col min="1" max="1" width="16.5703125" bestFit="1" customWidth="1"/>
    <col min="2" max="2" width="22" style="48" bestFit="1" customWidth="1"/>
    <col min="3" max="3" width="11.85546875" customWidth="1"/>
  </cols>
  <sheetData>
    <row r="1" spans="1:4" x14ac:dyDescent="0.25">
      <c r="A1" s="18" t="s">
        <v>167</v>
      </c>
    </row>
    <row r="2" spans="1:4" x14ac:dyDescent="0.25">
      <c r="A2" s="43" t="s">
        <v>102</v>
      </c>
    </row>
    <row r="4" spans="1:4" ht="45" x14ac:dyDescent="0.25">
      <c r="A4" s="39" t="s">
        <v>183</v>
      </c>
      <c r="B4" s="49" t="s">
        <v>103</v>
      </c>
      <c r="C4" s="44" t="s">
        <v>100</v>
      </c>
      <c r="D4" t="s">
        <v>99</v>
      </c>
    </row>
    <row r="5" spans="1:4" x14ac:dyDescent="0.25">
      <c r="A5" s="41">
        <v>45292</v>
      </c>
      <c r="B5" s="48">
        <v>5.3553100000000002</v>
      </c>
      <c r="C5" s="38">
        <f t="shared" ref="C5:C68" si="0">(1+B5/100)^(1/360)-1</f>
        <v>1.4492260140208657E-4</v>
      </c>
    </row>
    <row r="6" spans="1:4" x14ac:dyDescent="0.25">
      <c r="A6" s="41">
        <v>45293</v>
      </c>
      <c r="B6" s="48">
        <v>5.3580800000000002</v>
      </c>
      <c r="C6" s="38">
        <f t="shared" si="0"/>
        <v>1.4499564431424972E-4</v>
      </c>
    </row>
    <row r="7" spans="1:4" x14ac:dyDescent="0.25">
      <c r="A7" s="41">
        <v>45294</v>
      </c>
      <c r="B7" s="48">
        <v>5.3589799999999999</v>
      </c>
      <c r="C7" s="38">
        <f t="shared" si="0"/>
        <v>1.4501937625621686E-4</v>
      </c>
    </row>
    <row r="8" spans="1:4" x14ac:dyDescent="0.25">
      <c r="A8" s="41">
        <v>45295</v>
      </c>
      <c r="B8" s="48">
        <v>5.3597700000000001</v>
      </c>
      <c r="C8" s="38">
        <f t="shared" si="0"/>
        <v>1.4504020746097801E-4</v>
      </c>
    </row>
    <row r="9" spans="1:4" x14ac:dyDescent="0.25">
      <c r="A9" s="41">
        <v>45296</v>
      </c>
      <c r="B9" s="48">
        <v>5.3599100000000002</v>
      </c>
      <c r="C9" s="38">
        <f t="shared" si="0"/>
        <v>1.4504389905045656E-4</v>
      </c>
    </row>
    <row r="10" spans="1:4" x14ac:dyDescent="0.25">
      <c r="A10" s="41">
        <v>45297</v>
      </c>
      <c r="B10" s="48">
        <v>5.3599100000000002</v>
      </c>
      <c r="C10" s="38">
        <f t="shared" si="0"/>
        <v>1.4504389905045656E-4</v>
      </c>
    </row>
    <row r="11" spans="1:4" x14ac:dyDescent="0.25">
      <c r="A11" s="41">
        <v>45298</v>
      </c>
      <c r="B11" s="48">
        <v>5.3599100000000002</v>
      </c>
      <c r="C11" s="38">
        <f t="shared" si="0"/>
        <v>1.4504389905045656E-4</v>
      </c>
    </row>
    <row r="12" spans="1:4" x14ac:dyDescent="0.25">
      <c r="A12" s="41">
        <v>45299</v>
      </c>
      <c r="B12" s="48">
        <v>5.3599100000000002</v>
      </c>
      <c r="C12" s="38">
        <f t="shared" si="0"/>
        <v>1.4504389905045656E-4</v>
      </c>
    </row>
    <row r="13" spans="1:4" x14ac:dyDescent="0.25">
      <c r="A13" s="41">
        <v>45300</v>
      </c>
      <c r="B13" s="48">
        <v>5.3599100000000002</v>
      </c>
      <c r="C13" s="38">
        <f t="shared" si="0"/>
        <v>1.4504389905045656E-4</v>
      </c>
    </row>
    <row r="14" spans="1:4" x14ac:dyDescent="0.25">
      <c r="A14" s="41">
        <v>45301</v>
      </c>
      <c r="B14" s="48">
        <v>5.3599100000000002</v>
      </c>
      <c r="C14" s="38">
        <f t="shared" si="0"/>
        <v>1.4504389905045656E-4</v>
      </c>
    </row>
    <row r="15" spans="1:4" x14ac:dyDescent="0.25">
      <c r="A15" s="41">
        <v>45302</v>
      </c>
      <c r="B15" s="48">
        <v>5.3599100000000002</v>
      </c>
      <c r="C15" s="38">
        <f t="shared" si="0"/>
        <v>1.4504389905045656E-4</v>
      </c>
    </row>
    <row r="16" spans="1:4" x14ac:dyDescent="0.25">
      <c r="A16" s="41">
        <v>45303</v>
      </c>
      <c r="B16" s="48">
        <v>5.3599300000000003</v>
      </c>
      <c r="C16" s="38">
        <f t="shared" si="0"/>
        <v>1.4504442642016002E-4</v>
      </c>
    </row>
    <row r="17" spans="1:3" x14ac:dyDescent="0.25">
      <c r="A17" s="41">
        <v>45304</v>
      </c>
      <c r="B17" s="48">
        <v>5.3599300000000003</v>
      </c>
      <c r="C17" s="38">
        <f t="shared" si="0"/>
        <v>1.4504442642016002E-4</v>
      </c>
    </row>
    <row r="18" spans="1:3" x14ac:dyDescent="0.25">
      <c r="A18" s="41">
        <v>45305</v>
      </c>
      <c r="B18" s="48">
        <v>5.3599300000000003</v>
      </c>
      <c r="C18" s="38">
        <f t="shared" si="0"/>
        <v>1.4504442642016002E-4</v>
      </c>
    </row>
    <row r="19" spans="1:3" x14ac:dyDescent="0.25">
      <c r="A19" s="41">
        <v>45306</v>
      </c>
      <c r="B19" s="48">
        <v>5.3599300000000003</v>
      </c>
      <c r="C19" s="38">
        <f t="shared" si="0"/>
        <v>1.4504442642016002E-4</v>
      </c>
    </row>
    <row r="20" spans="1:3" x14ac:dyDescent="0.25">
      <c r="A20" s="41">
        <v>45307</v>
      </c>
      <c r="B20" s="48">
        <v>5.3598800000000004</v>
      </c>
      <c r="C20" s="38">
        <f t="shared" si="0"/>
        <v>1.4504310799612341E-4</v>
      </c>
    </row>
    <row r="21" spans="1:3" x14ac:dyDescent="0.25">
      <c r="A21" s="41">
        <v>45308</v>
      </c>
      <c r="B21" s="48">
        <v>5.3601099999999997</v>
      </c>
      <c r="C21" s="38">
        <f t="shared" si="0"/>
        <v>1.4504917274149598E-4</v>
      </c>
    </row>
    <row r="22" spans="1:3" x14ac:dyDescent="0.25">
      <c r="A22" s="41">
        <v>45309</v>
      </c>
      <c r="B22" s="48">
        <v>5.3603300000000003</v>
      </c>
      <c r="C22" s="38">
        <f t="shared" si="0"/>
        <v>1.4505497379002641E-4</v>
      </c>
    </row>
    <row r="23" spans="1:3" x14ac:dyDescent="0.25">
      <c r="A23" s="41">
        <v>45310</v>
      </c>
      <c r="B23" s="48">
        <v>5.3604599999999998</v>
      </c>
      <c r="C23" s="38">
        <f t="shared" si="0"/>
        <v>1.4505840167688966E-4</v>
      </c>
    </row>
    <row r="24" spans="1:3" x14ac:dyDescent="0.25">
      <c r="A24" s="41">
        <v>45311</v>
      </c>
      <c r="B24" s="48">
        <v>5.3604599999999998</v>
      </c>
      <c r="C24" s="38">
        <f t="shared" si="0"/>
        <v>1.4505840167688966E-4</v>
      </c>
    </row>
    <row r="25" spans="1:3" x14ac:dyDescent="0.25">
      <c r="A25" s="41">
        <v>45312</v>
      </c>
      <c r="B25" s="48">
        <v>5.3604599999999998</v>
      </c>
      <c r="C25" s="38">
        <f t="shared" si="0"/>
        <v>1.4505840167688966E-4</v>
      </c>
    </row>
    <row r="26" spans="1:3" x14ac:dyDescent="0.25">
      <c r="A26" s="41">
        <v>45313</v>
      </c>
      <c r="B26" s="48">
        <v>5.3607800000000001</v>
      </c>
      <c r="C26" s="38">
        <f t="shared" si="0"/>
        <v>1.4506683953374733E-4</v>
      </c>
    </row>
    <row r="27" spans="1:3" x14ac:dyDescent="0.25">
      <c r="A27" s="41">
        <v>45314</v>
      </c>
      <c r="B27" s="48">
        <v>5.3608900000000004</v>
      </c>
      <c r="C27" s="38">
        <f t="shared" si="0"/>
        <v>1.4506974004113715E-4</v>
      </c>
    </row>
    <row r="28" spans="1:3" x14ac:dyDescent="0.25">
      <c r="A28" s="41">
        <v>45315</v>
      </c>
      <c r="B28" s="48">
        <v>5.3610100000000003</v>
      </c>
      <c r="C28" s="38">
        <f t="shared" si="0"/>
        <v>1.4507290422760555E-4</v>
      </c>
    </row>
    <row r="29" spans="1:3" x14ac:dyDescent="0.25">
      <c r="A29" s="41">
        <v>45316</v>
      </c>
      <c r="B29" s="48">
        <v>5.3610100000000003</v>
      </c>
      <c r="C29" s="38">
        <f t="shared" si="0"/>
        <v>1.4507290422760555E-4</v>
      </c>
    </row>
    <row r="30" spans="1:3" x14ac:dyDescent="0.25">
      <c r="A30" s="41">
        <v>45317</v>
      </c>
      <c r="B30" s="48">
        <v>5.3611399999999998</v>
      </c>
      <c r="C30" s="38">
        <f t="shared" si="0"/>
        <v>1.4507633209204229E-4</v>
      </c>
    </row>
    <row r="31" spans="1:3" x14ac:dyDescent="0.25">
      <c r="A31" s="41">
        <v>45318</v>
      </c>
      <c r="B31" s="48">
        <v>5.3611399999999998</v>
      </c>
      <c r="C31" s="38">
        <f t="shared" si="0"/>
        <v>1.4507633209204229E-4</v>
      </c>
    </row>
    <row r="32" spans="1:3" x14ac:dyDescent="0.25">
      <c r="A32" s="41">
        <v>45319</v>
      </c>
      <c r="B32" s="48">
        <v>5.3611399999999998</v>
      </c>
      <c r="C32" s="38">
        <f t="shared" si="0"/>
        <v>1.4507633209204229E-4</v>
      </c>
    </row>
    <row r="33" spans="1:3" x14ac:dyDescent="0.25">
      <c r="A33" s="41">
        <v>45320</v>
      </c>
      <c r="B33" s="48">
        <v>5.3614600000000001</v>
      </c>
      <c r="C33" s="38">
        <f t="shared" si="0"/>
        <v>1.4508476989472108E-4</v>
      </c>
    </row>
    <row r="34" spans="1:3" x14ac:dyDescent="0.25">
      <c r="A34" s="41">
        <v>45321</v>
      </c>
      <c r="B34" s="48">
        <v>5.3610100000000003</v>
      </c>
      <c r="C34" s="38">
        <f t="shared" si="0"/>
        <v>1.4507290422760555E-4</v>
      </c>
    </row>
    <row r="35" spans="1:3" x14ac:dyDescent="0.25">
      <c r="A35" s="41">
        <v>45322</v>
      </c>
      <c r="B35" s="48">
        <v>5.3608900000000004</v>
      </c>
      <c r="C35" s="38">
        <f t="shared" si="0"/>
        <v>1.4506974004113715E-4</v>
      </c>
    </row>
    <row r="36" spans="1:3" x14ac:dyDescent="0.25">
      <c r="A36" s="41">
        <v>45323</v>
      </c>
      <c r="B36" s="48">
        <v>5.3607800000000001</v>
      </c>
      <c r="C36" s="38">
        <f t="shared" si="0"/>
        <v>1.4506683953374733E-4</v>
      </c>
    </row>
    <row r="37" spans="1:3" x14ac:dyDescent="0.25">
      <c r="A37" s="41">
        <v>45324</v>
      </c>
      <c r="B37" s="48">
        <v>5.3608000000000002</v>
      </c>
      <c r="C37" s="38">
        <f t="shared" si="0"/>
        <v>1.4506736689878785E-4</v>
      </c>
    </row>
    <row r="38" spans="1:3" x14ac:dyDescent="0.25">
      <c r="A38" s="41">
        <v>45325</v>
      </c>
      <c r="B38" s="48">
        <v>5.3608000000000002</v>
      </c>
      <c r="C38" s="38">
        <f t="shared" si="0"/>
        <v>1.4506736689878785E-4</v>
      </c>
    </row>
    <row r="39" spans="1:3" x14ac:dyDescent="0.25">
      <c r="A39" s="41">
        <v>45326</v>
      </c>
      <c r="B39" s="48">
        <v>5.3608000000000002</v>
      </c>
      <c r="C39" s="38">
        <f t="shared" si="0"/>
        <v>1.4506736689878785E-4</v>
      </c>
    </row>
    <row r="40" spans="1:3" x14ac:dyDescent="0.25">
      <c r="A40" s="41">
        <v>45327</v>
      </c>
      <c r="B40" s="48">
        <v>5.3607800000000001</v>
      </c>
      <c r="C40" s="38">
        <f t="shared" si="0"/>
        <v>1.4506683953374733E-4</v>
      </c>
    </row>
    <row r="41" spans="1:3" x14ac:dyDescent="0.25">
      <c r="A41" s="41">
        <v>45328</v>
      </c>
      <c r="B41" s="48">
        <v>5.3606699999999998</v>
      </c>
      <c r="C41" s="38">
        <f t="shared" si="0"/>
        <v>1.4506393902324888E-4</v>
      </c>
    </row>
    <row r="42" spans="1:3" x14ac:dyDescent="0.25">
      <c r="A42" s="41">
        <v>45329</v>
      </c>
      <c r="B42" s="48">
        <v>5.3605600000000004</v>
      </c>
      <c r="C42" s="38">
        <f t="shared" si="0"/>
        <v>1.4506103850986385E-4</v>
      </c>
    </row>
    <row r="43" spans="1:3" x14ac:dyDescent="0.25">
      <c r="A43" s="41">
        <v>45330</v>
      </c>
      <c r="B43" s="48">
        <v>5.3604400000000014</v>
      </c>
      <c r="C43" s="38">
        <f t="shared" si="0"/>
        <v>1.4505787430985073E-4</v>
      </c>
    </row>
    <row r="44" spans="1:3" x14ac:dyDescent="0.25">
      <c r="A44" s="41">
        <v>45331</v>
      </c>
      <c r="B44" s="48">
        <v>5.3603500000000004</v>
      </c>
      <c r="C44" s="38">
        <f t="shared" si="0"/>
        <v>1.4505550115750943E-4</v>
      </c>
    </row>
    <row r="45" spans="1:3" x14ac:dyDescent="0.25">
      <c r="A45" s="41">
        <v>45332</v>
      </c>
      <c r="B45" s="48">
        <v>5.3603500000000004</v>
      </c>
      <c r="C45" s="38">
        <f t="shared" si="0"/>
        <v>1.4505550115750943E-4</v>
      </c>
    </row>
    <row r="46" spans="1:3" x14ac:dyDescent="0.25">
      <c r="A46" s="41">
        <v>45333</v>
      </c>
      <c r="B46" s="48">
        <v>5.3603500000000004</v>
      </c>
      <c r="C46" s="38">
        <f t="shared" si="0"/>
        <v>1.4505550115750943E-4</v>
      </c>
    </row>
    <row r="47" spans="1:3" x14ac:dyDescent="0.25">
      <c r="A47" s="41">
        <v>45334</v>
      </c>
      <c r="B47" s="48">
        <v>5.3599899999999998</v>
      </c>
      <c r="C47" s="38">
        <f t="shared" si="0"/>
        <v>1.4504600852816019E-4</v>
      </c>
    </row>
    <row r="48" spans="1:3" x14ac:dyDescent="0.25">
      <c r="A48" s="41">
        <v>45335</v>
      </c>
      <c r="B48" s="48">
        <v>5.3598800000000004</v>
      </c>
      <c r="C48" s="38">
        <f t="shared" si="0"/>
        <v>1.4504310799612341E-4</v>
      </c>
    </row>
    <row r="49" spans="1:3" x14ac:dyDescent="0.25">
      <c r="A49" s="41">
        <v>45336</v>
      </c>
      <c r="B49" s="48">
        <v>5.3597700000000001</v>
      </c>
      <c r="C49" s="38">
        <f t="shared" si="0"/>
        <v>1.4504020746097801E-4</v>
      </c>
    </row>
    <row r="50" spans="1:3" x14ac:dyDescent="0.25">
      <c r="A50" s="41">
        <v>45337</v>
      </c>
      <c r="B50" s="48">
        <v>5.35954</v>
      </c>
      <c r="C50" s="38">
        <f t="shared" si="0"/>
        <v>1.4503414269584347E-4</v>
      </c>
    </row>
    <row r="51" spans="1:3" x14ac:dyDescent="0.25">
      <c r="A51" s="41">
        <v>45338</v>
      </c>
      <c r="B51" s="48">
        <v>5.3594499999999998</v>
      </c>
      <c r="C51" s="38">
        <f t="shared" si="0"/>
        <v>1.4503176952329611E-4</v>
      </c>
    </row>
    <row r="52" spans="1:3" x14ac:dyDescent="0.25">
      <c r="A52" s="41">
        <v>45339</v>
      </c>
      <c r="B52" s="48">
        <v>5.3594499999999998</v>
      </c>
      <c r="C52" s="38">
        <f t="shared" si="0"/>
        <v>1.4503176952329611E-4</v>
      </c>
    </row>
    <row r="53" spans="1:3" x14ac:dyDescent="0.25">
      <c r="A53" s="41">
        <v>45340</v>
      </c>
      <c r="B53" s="48">
        <v>5.3594499999999998</v>
      </c>
      <c r="C53" s="38">
        <f t="shared" si="0"/>
        <v>1.4503176952329611E-4</v>
      </c>
    </row>
    <row r="54" spans="1:3" x14ac:dyDescent="0.25">
      <c r="A54" s="41">
        <v>45341</v>
      </c>
      <c r="B54" s="48">
        <v>5.3594499999999998</v>
      </c>
      <c r="C54" s="38">
        <f t="shared" si="0"/>
        <v>1.4503176952329611E-4</v>
      </c>
    </row>
    <row r="55" spans="1:3" x14ac:dyDescent="0.25">
      <c r="A55" s="41">
        <v>45342</v>
      </c>
      <c r="B55" s="48">
        <v>5.3587300000000004</v>
      </c>
      <c r="C55" s="38">
        <f t="shared" si="0"/>
        <v>1.450127840703086E-4</v>
      </c>
    </row>
    <row r="56" spans="1:3" x14ac:dyDescent="0.25">
      <c r="A56" s="41">
        <v>45343</v>
      </c>
      <c r="B56" s="48">
        <v>5.3586300000000007</v>
      </c>
      <c r="C56" s="38">
        <f t="shared" si="0"/>
        <v>1.4501014719181526E-4</v>
      </c>
    </row>
    <row r="57" spans="1:3" x14ac:dyDescent="0.25">
      <c r="A57" s="41">
        <v>45344</v>
      </c>
      <c r="B57" s="48">
        <v>5.3585099999999999</v>
      </c>
      <c r="C57" s="38">
        <f t="shared" si="0"/>
        <v>1.4500698293407055E-4</v>
      </c>
    </row>
    <row r="58" spans="1:3" x14ac:dyDescent="0.25">
      <c r="A58" s="41">
        <v>45345</v>
      </c>
      <c r="B58" s="48">
        <v>5.3583099999999986</v>
      </c>
      <c r="C58" s="38">
        <f t="shared" si="0"/>
        <v>1.4500170916309507E-4</v>
      </c>
    </row>
    <row r="59" spans="1:3" x14ac:dyDescent="0.25">
      <c r="A59" s="41">
        <v>45346</v>
      </c>
      <c r="B59" s="48">
        <v>5.3583099999999986</v>
      </c>
      <c r="C59" s="38">
        <f t="shared" si="0"/>
        <v>1.4500170916309507E-4</v>
      </c>
    </row>
    <row r="60" spans="1:3" x14ac:dyDescent="0.25">
      <c r="A60" s="41">
        <v>45347</v>
      </c>
      <c r="B60" s="48">
        <v>5.3583099999999986</v>
      </c>
      <c r="C60" s="38">
        <f t="shared" si="0"/>
        <v>1.4500170916309507E-4</v>
      </c>
    </row>
    <row r="61" spans="1:3" x14ac:dyDescent="0.25">
      <c r="A61" s="41">
        <v>45348</v>
      </c>
      <c r="B61" s="48">
        <v>5.3579499999999998</v>
      </c>
      <c r="C61" s="38">
        <f t="shared" si="0"/>
        <v>1.4499221635033699E-4</v>
      </c>
    </row>
    <row r="62" spans="1:3" x14ac:dyDescent="0.25">
      <c r="A62" s="41">
        <v>45349</v>
      </c>
      <c r="B62" s="48">
        <v>5.3578400000000004</v>
      </c>
      <c r="C62" s="38">
        <f t="shared" si="0"/>
        <v>1.4498931576234497E-4</v>
      </c>
    </row>
    <row r="63" spans="1:3" x14ac:dyDescent="0.25">
      <c r="A63" s="41">
        <v>45350</v>
      </c>
      <c r="B63" s="48">
        <v>5.3578400000000004</v>
      </c>
      <c r="C63" s="38">
        <f t="shared" si="0"/>
        <v>1.4498931576234497E-4</v>
      </c>
    </row>
    <row r="64" spans="1:3" x14ac:dyDescent="0.25">
      <c r="A64" s="41">
        <v>45351</v>
      </c>
      <c r="B64" s="48">
        <v>5.3576100000000002</v>
      </c>
      <c r="C64" s="38">
        <f t="shared" si="0"/>
        <v>1.4498325088641018E-4</v>
      </c>
    </row>
    <row r="65" spans="1:3" x14ac:dyDescent="0.25">
      <c r="A65" s="41">
        <v>45352</v>
      </c>
      <c r="B65" s="48">
        <v>5.35684</v>
      </c>
      <c r="C65" s="38">
        <f t="shared" si="0"/>
        <v>1.4496294664079201E-4</v>
      </c>
    </row>
    <row r="66" spans="1:3" x14ac:dyDescent="0.25">
      <c r="A66" s="41">
        <v>45353</v>
      </c>
      <c r="B66" s="48">
        <v>5.35684</v>
      </c>
      <c r="C66" s="38">
        <f t="shared" si="0"/>
        <v>1.4496294664079201E-4</v>
      </c>
    </row>
    <row r="67" spans="1:3" x14ac:dyDescent="0.25">
      <c r="A67" s="41">
        <v>45354</v>
      </c>
      <c r="B67" s="48">
        <v>5.35684</v>
      </c>
      <c r="C67" s="38">
        <f t="shared" si="0"/>
        <v>1.4496294664079201E-4</v>
      </c>
    </row>
    <row r="68" spans="1:3" x14ac:dyDescent="0.25">
      <c r="A68" s="41">
        <v>45355</v>
      </c>
      <c r="B68" s="48">
        <v>5.3543500000000002</v>
      </c>
      <c r="C68" s="38">
        <f t="shared" si="0"/>
        <v>1.4489728644417887E-4</v>
      </c>
    </row>
    <row r="69" spans="1:3" x14ac:dyDescent="0.25">
      <c r="A69" s="41">
        <v>45356</v>
      </c>
      <c r="B69" s="48">
        <v>5.35412</v>
      </c>
      <c r="C69" s="38">
        <f t="shared" ref="C69:C132" si="1">(1+B69/100)^(1/360)-1</f>
        <v>1.4489122136795984E-4</v>
      </c>
    </row>
    <row r="70" spans="1:3" x14ac:dyDescent="0.25">
      <c r="A70" s="41">
        <v>45357</v>
      </c>
      <c r="B70" s="48">
        <v>5.3540099999999997</v>
      </c>
      <c r="C70" s="38">
        <f t="shared" si="1"/>
        <v>1.4488832067471868E-4</v>
      </c>
    </row>
    <row r="71" spans="1:3" x14ac:dyDescent="0.25">
      <c r="A71" s="41">
        <v>45358</v>
      </c>
      <c r="B71" s="48">
        <v>5.3539000000000003</v>
      </c>
      <c r="C71" s="38">
        <f t="shared" si="1"/>
        <v>1.448854199783689E-4</v>
      </c>
    </row>
    <row r="72" spans="1:3" x14ac:dyDescent="0.25">
      <c r="A72" s="41">
        <v>45359</v>
      </c>
      <c r="B72" s="48">
        <v>5.3537999999999997</v>
      </c>
      <c r="C72" s="38">
        <f t="shared" si="1"/>
        <v>1.448827829790833E-4</v>
      </c>
    </row>
    <row r="73" spans="1:3" x14ac:dyDescent="0.25">
      <c r="A73" s="41">
        <v>45360</v>
      </c>
      <c r="B73" s="48">
        <v>5.3537999999999997</v>
      </c>
      <c r="C73" s="38">
        <f t="shared" si="1"/>
        <v>1.448827829790833E-4</v>
      </c>
    </row>
    <row r="74" spans="1:3" x14ac:dyDescent="0.25">
      <c r="A74" s="41">
        <v>45361</v>
      </c>
      <c r="B74" s="48">
        <v>5.3537999999999997</v>
      </c>
      <c r="C74" s="38">
        <f t="shared" si="1"/>
        <v>1.448827829790833E-4</v>
      </c>
    </row>
    <row r="75" spans="1:3" x14ac:dyDescent="0.25">
      <c r="A75" s="41">
        <v>45362</v>
      </c>
      <c r="B75" s="48">
        <v>5.3534499999999996</v>
      </c>
      <c r="C75" s="38">
        <f t="shared" si="1"/>
        <v>1.448735534621548E-4</v>
      </c>
    </row>
    <row r="76" spans="1:3" x14ac:dyDescent="0.25">
      <c r="A76" s="41">
        <v>45363</v>
      </c>
      <c r="B76" s="48">
        <v>5.3534499999999996</v>
      </c>
      <c r="C76" s="38">
        <f t="shared" si="1"/>
        <v>1.448735534621548E-4</v>
      </c>
    </row>
    <row r="77" spans="1:3" x14ac:dyDescent="0.25">
      <c r="A77" s="41">
        <v>45364</v>
      </c>
      <c r="B77" s="48">
        <v>5.3534499999999996</v>
      </c>
      <c r="C77" s="38">
        <f t="shared" si="1"/>
        <v>1.448735534621548E-4</v>
      </c>
    </row>
    <row r="78" spans="1:3" x14ac:dyDescent="0.25">
      <c r="A78" s="41">
        <v>45365</v>
      </c>
      <c r="B78" s="48">
        <v>5.3534499999999996</v>
      </c>
      <c r="C78" s="38">
        <f t="shared" si="1"/>
        <v>1.448735534621548E-4</v>
      </c>
    </row>
    <row r="79" spans="1:3" x14ac:dyDescent="0.25">
      <c r="A79" s="41">
        <v>45366</v>
      </c>
      <c r="B79" s="48">
        <v>5.3533499999999998</v>
      </c>
      <c r="C79" s="38">
        <f t="shared" si="1"/>
        <v>1.4487091645154493E-4</v>
      </c>
    </row>
    <row r="80" spans="1:3" x14ac:dyDescent="0.25">
      <c r="A80" s="41">
        <v>45367</v>
      </c>
      <c r="B80" s="48">
        <v>5.3533499999999998</v>
      </c>
      <c r="C80" s="38">
        <f t="shared" si="1"/>
        <v>1.4487091645154493E-4</v>
      </c>
    </row>
    <row r="81" spans="1:3" x14ac:dyDescent="0.25">
      <c r="A81" s="41">
        <v>45368</v>
      </c>
      <c r="B81" s="48">
        <v>5.3533499999999998</v>
      </c>
      <c r="C81" s="38">
        <f t="shared" si="1"/>
        <v>1.4487091645154493E-4</v>
      </c>
    </row>
    <row r="82" spans="1:3" x14ac:dyDescent="0.25">
      <c r="A82" s="41">
        <v>45369</v>
      </c>
      <c r="B82" s="48">
        <v>5.3529999999999998</v>
      </c>
      <c r="C82" s="38">
        <f t="shared" si="1"/>
        <v>1.4486168689531453E-4</v>
      </c>
    </row>
    <row r="83" spans="1:3" x14ac:dyDescent="0.25">
      <c r="A83" s="41">
        <v>45370</v>
      </c>
      <c r="B83" s="48">
        <v>5.3529999999999998</v>
      </c>
      <c r="C83" s="38">
        <f t="shared" si="1"/>
        <v>1.4486168689531453E-4</v>
      </c>
    </row>
    <row r="84" spans="1:3" x14ac:dyDescent="0.25">
      <c r="A84" s="41">
        <v>45371</v>
      </c>
      <c r="B84" s="48">
        <v>5.3529999999999998</v>
      </c>
      <c r="C84" s="38">
        <f t="shared" si="1"/>
        <v>1.4486168689531453E-4</v>
      </c>
    </row>
    <row r="85" spans="1:3" x14ac:dyDescent="0.25">
      <c r="A85" s="41">
        <v>45372</v>
      </c>
      <c r="B85" s="48">
        <v>5.3529999999999998</v>
      </c>
      <c r="C85" s="38">
        <f t="shared" si="1"/>
        <v>1.4486168689531453E-4</v>
      </c>
    </row>
    <row r="86" spans="1:3" x14ac:dyDescent="0.25">
      <c r="A86" s="41">
        <v>45373</v>
      </c>
      <c r="B86" s="48">
        <v>5.3529099999999996</v>
      </c>
      <c r="C86" s="38">
        <f t="shared" si="1"/>
        <v>1.4485931357577364E-4</v>
      </c>
    </row>
    <row r="87" spans="1:3" x14ac:dyDescent="0.25">
      <c r="A87" s="41">
        <v>45374</v>
      </c>
      <c r="B87" s="48">
        <v>5.3529099999999996</v>
      </c>
      <c r="C87" s="38">
        <f t="shared" si="1"/>
        <v>1.4485931357577364E-4</v>
      </c>
    </row>
    <row r="88" spans="1:3" x14ac:dyDescent="0.25">
      <c r="A88" s="41">
        <v>45375</v>
      </c>
      <c r="B88" s="48">
        <v>5.3529099999999996</v>
      </c>
      <c r="C88" s="38">
        <f t="shared" si="1"/>
        <v>1.4485931357577364E-4</v>
      </c>
    </row>
    <row r="89" spans="1:3" x14ac:dyDescent="0.25">
      <c r="A89" s="41">
        <v>45376</v>
      </c>
      <c r="B89" s="48">
        <v>5.3525700000000001</v>
      </c>
      <c r="C89" s="38">
        <f t="shared" si="1"/>
        <v>1.4485034768418892E-4</v>
      </c>
    </row>
    <row r="90" spans="1:3" x14ac:dyDescent="0.25">
      <c r="A90" s="41">
        <v>45377</v>
      </c>
      <c r="B90" s="48">
        <v>5.3521199999999993</v>
      </c>
      <c r="C90" s="38">
        <f t="shared" si="1"/>
        <v>1.448384810185388E-4</v>
      </c>
    </row>
    <row r="91" spans="1:3" x14ac:dyDescent="0.25">
      <c r="A91" s="41">
        <v>45378</v>
      </c>
      <c r="B91" s="48">
        <v>5.3513400000000004</v>
      </c>
      <c r="C91" s="38">
        <f t="shared" si="1"/>
        <v>1.4481791201159666E-4</v>
      </c>
    </row>
    <row r="92" spans="1:3" x14ac:dyDescent="0.25">
      <c r="A92" s="41">
        <v>45379</v>
      </c>
      <c r="B92" s="48">
        <v>5.3505500000000001</v>
      </c>
      <c r="C92" s="38">
        <f t="shared" si="1"/>
        <v>1.447970791446096E-4</v>
      </c>
    </row>
    <row r="93" spans="1:3" x14ac:dyDescent="0.25">
      <c r="A93" s="41">
        <v>45380</v>
      </c>
      <c r="B93" s="48">
        <v>5.3505500000000001</v>
      </c>
      <c r="C93" s="38">
        <f t="shared" si="1"/>
        <v>1.447970791446096E-4</v>
      </c>
    </row>
    <row r="94" spans="1:3" x14ac:dyDescent="0.25">
      <c r="A94" s="41">
        <v>45381</v>
      </c>
      <c r="B94" s="48">
        <v>5.3505500000000001</v>
      </c>
      <c r="C94" s="38">
        <f t="shared" si="1"/>
        <v>1.447970791446096E-4</v>
      </c>
    </row>
    <row r="95" spans="1:3" x14ac:dyDescent="0.25">
      <c r="A95" s="41">
        <v>45382</v>
      </c>
      <c r="B95" s="48">
        <v>5.3505500000000001</v>
      </c>
      <c r="C95" s="38">
        <f t="shared" si="1"/>
        <v>1.447970791446096E-4</v>
      </c>
    </row>
    <row r="96" spans="1:3" x14ac:dyDescent="0.25">
      <c r="A96" s="41">
        <v>45383</v>
      </c>
      <c r="B96" s="48">
        <v>5.3487499999999999</v>
      </c>
      <c r="C96" s="38">
        <f t="shared" si="1"/>
        <v>1.447496112711999E-4</v>
      </c>
    </row>
    <row r="97" spans="1:3" x14ac:dyDescent="0.25">
      <c r="A97" s="41">
        <v>45384</v>
      </c>
      <c r="B97" s="48">
        <v>5.3481800000000002</v>
      </c>
      <c r="C97" s="38">
        <f t="shared" si="1"/>
        <v>1.4473457960928471E-4</v>
      </c>
    </row>
    <row r="98" spans="1:3" x14ac:dyDescent="0.25">
      <c r="A98" s="41">
        <v>45385</v>
      </c>
      <c r="B98" s="48">
        <v>5.34762</v>
      </c>
      <c r="C98" s="38">
        <f t="shared" si="1"/>
        <v>1.4471981158159508E-4</v>
      </c>
    </row>
    <row r="99" spans="1:3" x14ac:dyDescent="0.25">
      <c r="A99" s="41">
        <v>45386</v>
      </c>
      <c r="B99" s="48">
        <v>5.34762</v>
      </c>
      <c r="C99" s="38">
        <f t="shared" si="1"/>
        <v>1.4471981158159508E-4</v>
      </c>
    </row>
    <row r="100" spans="1:3" x14ac:dyDescent="0.25">
      <c r="A100" s="41">
        <v>45387</v>
      </c>
      <c r="B100" s="48">
        <v>5.3477499999999996</v>
      </c>
      <c r="C100" s="38">
        <f t="shared" si="1"/>
        <v>1.4472323988079516E-4</v>
      </c>
    </row>
    <row r="101" spans="1:3" x14ac:dyDescent="0.25">
      <c r="A101" s="41">
        <v>45388</v>
      </c>
      <c r="B101" s="48">
        <v>5.3477499999999996</v>
      </c>
      <c r="C101" s="38">
        <f t="shared" si="1"/>
        <v>1.4472323988079516E-4</v>
      </c>
    </row>
    <row r="102" spans="1:3" x14ac:dyDescent="0.25">
      <c r="A102" s="41">
        <v>45389</v>
      </c>
      <c r="B102" s="48">
        <v>5.3477499999999996</v>
      </c>
      <c r="C102" s="38">
        <f t="shared" si="1"/>
        <v>1.4472323988079516E-4</v>
      </c>
    </row>
    <row r="103" spans="1:3" x14ac:dyDescent="0.25">
      <c r="A103" s="41">
        <v>45390</v>
      </c>
      <c r="B103" s="48">
        <v>5.3480699999999999</v>
      </c>
      <c r="C103" s="38">
        <f t="shared" si="1"/>
        <v>1.4473167875284076E-4</v>
      </c>
    </row>
    <row r="104" spans="1:3" x14ac:dyDescent="0.25">
      <c r="A104" s="41">
        <v>45391</v>
      </c>
      <c r="B104" s="48">
        <v>5.3480699999999999</v>
      </c>
      <c r="C104" s="38">
        <f t="shared" si="1"/>
        <v>1.4473167875284076E-4</v>
      </c>
    </row>
    <row r="105" spans="1:3" x14ac:dyDescent="0.25">
      <c r="A105" s="41">
        <v>45392</v>
      </c>
      <c r="B105" s="48">
        <v>5.3480699999999999</v>
      </c>
      <c r="C105" s="38">
        <f t="shared" si="1"/>
        <v>1.4473167875284076E-4</v>
      </c>
    </row>
    <row r="106" spans="1:3" x14ac:dyDescent="0.25">
      <c r="A106" s="41">
        <v>45393</v>
      </c>
      <c r="B106" s="48">
        <v>5.3480699999999999</v>
      </c>
      <c r="C106" s="38">
        <f t="shared" si="1"/>
        <v>1.4473167875284076E-4</v>
      </c>
    </row>
    <row r="107" spans="1:3" x14ac:dyDescent="0.25">
      <c r="A107" s="41">
        <v>45394</v>
      </c>
      <c r="B107" s="48">
        <v>5.3480999999999996</v>
      </c>
      <c r="C107" s="38">
        <f t="shared" si="1"/>
        <v>1.4473246989576971E-4</v>
      </c>
    </row>
    <row r="108" spans="1:3" x14ac:dyDescent="0.25">
      <c r="A108" s="41">
        <v>45395</v>
      </c>
      <c r="B108" s="48">
        <v>5.3480999999999996</v>
      </c>
      <c r="C108" s="38">
        <f t="shared" si="1"/>
        <v>1.4473246989576971E-4</v>
      </c>
    </row>
    <row r="109" spans="1:3" x14ac:dyDescent="0.25">
      <c r="A109" s="41">
        <v>45396</v>
      </c>
      <c r="B109" s="48">
        <v>5.3480999999999996</v>
      </c>
      <c r="C109" s="38">
        <f t="shared" si="1"/>
        <v>1.4473246989576971E-4</v>
      </c>
    </row>
    <row r="110" spans="1:3" x14ac:dyDescent="0.25">
      <c r="A110" s="41">
        <v>45397</v>
      </c>
      <c r="B110" s="48">
        <v>5.3480999999999996</v>
      </c>
      <c r="C110" s="38">
        <f t="shared" si="1"/>
        <v>1.4473246989576971E-4</v>
      </c>
    </row>
    <row r="111" spans="1:3" x14ac:dyDescent="0.25">
      <c r="A111" s="41">
        <v>45398</v>
      </c>
      <c r="B111" s="48">
        <v>5.3480999999999996</v>
      </c>
      <c r="C111" s="38">
        <f t="shared" si="1"/>
        <v>1.4473246989576971E-4</v>
      </c>
    </row>
    <row r="112" spans="1:3" x14ac:dyDescent="0.25">
      <c r="A112" s="41">
        <v>45399</v>
      </c>
      <c r="B112" s="48">
        <v>5.3479800000000006</v>
      </c>
      <c r="C112" s="38">
        <f t="shared" si="1"/>
        <v>1.4472930532272166E-4</v>
      </c>
    </row>
    <row r="113" spans="1:3" x14ac:dyDescent="0.25">
      <c r="A113" s="41">
        <v>45400</v>
      </c>
      <c r="B113" s="48">
        <v>5.3479800000000006</v>
      </c>
      <c r="C113" s="38">
        <f t="shared" si="1"/>
        <v>1.4472930532272166E-4</v>
      </c>
    </row>
    <row r="114" spans="1:3" x14ac:dyDescent="0.25">
      <c r="A114" s="41">
        <v>45401</v>
      </c>
      <c r="B114" s="48">
        <v>5.3478899999999996</v>
      </c>
      <c r="C114" s="38">
        <f t="shared" si="1"/>
        <v>1.447269318903821E-4</v>
      </c>
    </row>
    <row r="115" spans="1:3" x14ac:dyDescent="0.25">
      <c r="A115" s="41">
        <v>45402</v>
      </c>
      <c r="B115" s="48">
        <v>5.3478899999999996</v>
      </c>
      <c r="C115" s="38">
        <f t="shared" si="1"/>
        <v>1.447269318903821E-4</v>
      </c>
    </row>
    <row r="116" spans="1:3" x14ac:dyDescent="0.25">
      <c r="A116" s="41">
        <v>45403</v>
      </c>
      <c r="B116" s="48">
        <v>5.3478899999999996</v>
      </c>
      <c r="C116" s="38">
        <f t="shared" si="1"/>
        <v>1.447269318903821E-4</v>
      </c>
    </row>
    <row r="117" spans="1:3" x14ac:dyDescent="0.25">
      <c r="A117" s="41">
        <v>45404</v>
      </c>
      <c r="B117" s="48">
        <v>5.3478699999999986</v>
      </c>
      <c r="C117" s="38">
        <f t="shared" si="1"/>
        <v>1.447264044607266E-4</v>
      </c>
    </row>
    <row r="118" spans="1:3" x14ac:dyDescent="0.25">
      <c r="A118" s="41">
        <v>45405</v>
      </c>
      <c r="B118" s="48">
        <v>5.3478699999999986</v>
      </c>
      <c r="C118" s="38">
        <f t="shared" si="1"/>
        <v>1.447264044607266E-4</v>
      </c>
    </row>
    <row r="119" spans="1:3" x14ac:dyDescent="0.25">
      <c r="A119" s="41">
        <v>45406</v>
      </c>
      <c r="B119" s="48">
        <v>5.3478699999999986</v>
      </c>
      <c r="C119" s="38">
        <f t="shared" si="1"/>
        <v>1.447264044607266E-4</v>
      </c>
    </row>
    <row r="120" spans="1:3" x14ac:dyDescent="0.25">
      <c r="A120" s="41">
        <v>45407</v>
      </c>
      <c r="B120" s="48">
        <v>5.3477600000000001</v>
      </c>
      <c r="C120" s="38">
        <f t="shared" si="1"/>
        <v>1.4472350359584496E-4</v>
      </c>
    </row>
    <row r="121" spans="1:3" x14ac:dyDescent="0.25">
      <c r="A121" s="41">
        <v>45408</v>
      </c>
      <c r="B121" s="48">
        <v>5.3476599999999994</v>
      </c>
      <c r="C121" s="38">
        <f t="shared" si="1"/>
        <v>1.4472086644334858E-4</v>
      </c>
    </row>
    <row r="122" spans="1:3" x14ac:dyDescent="0.25">
      <c r="A122" s="41">
        <v>45409</v>
      </c>
      <c r="B122" s="48">
        <v>5.3476599999999994</v>
      </c>
      <c r="C122" s="38">
        <f t="shared" si="1"/>
        <v>1.4472086644334858E-4</v>
      </c>
    </row>
    <row r="123" spans="1:3" x14ac:dyDescent="0.25">
      <c r="A123" s="41">
        <v>45410</v>
      </c>
      <c r="B123" s="48">
        <v>5.3476599999999994</v>
      </c>
      <c r="C123" s="38">
        <f t="shared" si="1"/>
        <v>1.4472086644334858E-4</v>
      </c>
    </row>
    <row r="124" spans="1:3" x14ac:dyDescent="0.25">
      <c r="A124" s="41">
        <v>45411</v>
      </c>
      <c r="B124" s="48">
        <v>5.3477600000000001</v>
      </c>
      <c r="C124" s="38">
        <f t="shared" si="1"/>
        <v>1.4472350359584496E-4</v>
      </c>
    </row>
    <row r="125" spans="1:3" x14ac:dyDescent="0.25">
      <c r="A125" s="41">
        <v>45412</v>
      </c>
      <c r="B125" s="48">
        <v>5.3478699999999986</v>
      </c>
      <c r="C125" s="38">
        <f t="shared" si="1"/>
        <v>1.447264044607266E-4</v>
      </c>
    </row>
    <row r="126" spans="1:3" x14ac:dyDescent="0.25">
      <c r="A126" s="41">
        <v>45413</v>
      </c>
      <c r="B126" s="48">
        <v>5.3480999999999996</v>
      </c>
      <c r="C126" s="38">
        <f t="shared" si="1"/>
        <v>1.4473246989576971E-4</v>
      </c>
    </row>
    <row r="127" spans="1:3" x14ac:dyDescent="0.25">
      <c r="A127" s="41">
        <v>45414</v>
      </c>
      <c r="B127" s="48">
        <v>5.3480999999999996</v>
      </c>
      <c r="C127" s="38">
        <f t="shared" si="1"/>
        <v>1.4473246989576971E-4</v>
      </c>
    </row>
    <row r="128" spans="1:3" x14ac:dyDescent="0.25">
      <c r="A128" s="41">
        <v>45415</v>
      </c>
      <c r="B128" s="48">
        <v>5.3479999999999999</v>
      </c>
      <c r="C128" s="38">
        <f t="shared" si="1"/>
        <v>1.4472983275171103E-4</v>
      </c>
    </row>
    <row r="129" spans="1:3" x14ac:dyDescent="0.25">
      <c r="A129" s="41">
        <v>45416</v>
      </c>
      <c r="B129" s="48">
        <v>5.3479999999999999</v>
      </c>
      <c r="C129" s="38">
        <f t="shared" si="1"/>
        <v>1.4472983275171103E-4</v>
      </c>
    </row>
    <row r="130" spans="1:3" x14ac:dyDescent="0.25">
      <c r="A130" s="41">
        <v>45417</v>
      </c>
      <c r="B130" s="48">
        <v>5.3479999999999999</v>
      </c>
      <c r="C130" s="38">
        <f t="shared" si="1"/>
        <v>1.4472983275171103E-4</v>
      </c>
    </row>
    <row r="131" spans="1:3" x14ac:dyDescent="0.25">
      <c r="A131" s="41">
        <v>45418</v>
      </c>
      <c r="B131" s="48">
        <v>5.3477600000000001</v>
      </c>
      <c r="C131" s="38">
        <f t="shared" si="1"/>
        <v>1.4472350359584496E-4</v>
      </c>
    </row>
    <row r="132" spans="1:3" x14ac:dyDescent="0.25">
      <c r="A132" s="41">
        <v>45419</v>
      </c>
      <c r="B132" s="48">
        <v>5.3477600000000001</v>
      </c>
      <c r="C132" s="38">
        <f t="shared" si="1"/>
        <v>1.4472350359584496E-4</v>
      </c>
    </row>
    <row r="133" spans="1:3" x14ac:dyDescent="0.25">
      <c r="A133" s="41">
        <v>45420</v>
      </c>
      <c r="B133" s="48">
        <v>5.3477600000000001</v>
      </c>
      <c r="C133" s="38">
        <f t="shared" ref="C133:C196" si="2">(1+B133/100)^(1/360)-1</f>
        <v>1.4472350359584496E-4</v>
      </c>
    </row>
    <row r="134" spans="1:3" x14ac:dyDescent="0.25">
      <c r="A134" s="41">
        <v>45421</v>
      </c>
      <c r="B134" s="48">
        <v>5.3477600000000001</v>
      </c>
      <c r="C134" s="38">
        <f t="shared" si="2"/>
        <v>1.4472350359584496E-4</v>
      </c>
    </row>
    <row r="135" spans="1:3" x14ac:dyDescent="0.25">
      <c r="A135" s="41">
        <v>45422</v>
      </c>
      <c r="B135" s="48">
        <v>5.3477800000000002</v>
      </c>
      <c r="C135" s="38">
        <f t="shared" si="2"/>
        <v>1.447240310261666E-4</v>
      </c>
    </row>
    <row r="136" spans="1:3" x14ac:dyDescent="0.25">
      <c r="A136" s="41">
        <v>45423</v>
      </c>
      <c r="B136" s="48">
        <v>5.3477800000000002</v>
      </c>
      <c r="C136" s="38">
        <f t="shared" si="2"/>
        <v>1.447240310261666E-4</v>
      </c>
    </row>
    <row r="137" spans="1:3" x14ac:dyDescent="0.25">
      <c r="A137" s="41">
        <v>45424</v>
      </c>
      <c r="B137" s="48">
        <v>5.3477800000000002</v>
      </c>
      <c r="C137" s="38">
        <f t="shared" si="2"/>
        <v>1.447240310261666E-4</v>
      </c>
    </row>
    <row r="138" spans="1:3" x14ac:dyDescent="0.25">
      <c r="A138" s="41">
        <v>45425</v>
      </c>
      <c r="B138" s="48">
        <v>5.3477600000000001</v>
      </c>
      <c r="C138" s="38">
        <f t="shared" si="2"/>
        <v>1.4472350359584496E-4</v>
      </c>
    </row>
    <row r="139" spans="1:3" x14ac:dyDescent="0.25">
      <c r="A139" s="41">
        <v>45426</v>
      </c>
      <c r="B139" s="48">
        <v>5.3477600000000001</v>
      </c>
      <c r="C139" s="38">
        <f t="shared" si="2"/>
        <v>1.4472350359584496E-4</v>
      </c>
    </row>
    <row r="140" spans="1:3" x14ac:dyDescent="0.25">
      <c r="A140" s="41">
        <v>45427</v>
      </c>
      <c r="B140" s="48">
        <v>5.3478699999999986</v>
      </c>
      <c r="C140" s="38">
        <f t="shared" si="2"/>
        <v>1.447264044607266E-4</v>
      </c>
    </row>
    <row r="141" spans="1:3" x14ac:dyDescent="0.25">
      <c r="A141" s="41">
        <v>45428</v>
      </c>
      <c r="B141" s="48">
        <v>5.3478699999999986</v>
      </c>
      <c r="C141" s="38">
        <f t="shared" si="2"/>
        <v>1.447264044607266E-4</v>
      </c>
    </row>
    <row r="142" spans="1:3" x14ac:dyDescent="0.25">
      <c r="A142" s="41">
        <v>45429</v>
      </c>
      <c r="B142" s="48">
        <v>5.3480099999999986</v>
      </c>
      <c r="C142" s="38">
        <f t="shared" si="2"/>
        <v>1.4473009646631674E-4</v>
      </c>
    </row>
    <row r="143" spans="1:3" x14ac:dyDescent="0.25">
      <c r="A143" s="41">
        <v>45430</v>
      </c>
      <c r="B143" s="48">
        <v>5.3480099999999986</v>
      </c>
      <c r="C143" s="38">
        <f t="shared" si="2"/>
        <v>1.4473009646631674E-4</v>
      </c>
    </row>
    <row r="144" spans="1:3" x14ac:dyDescent="0.25">
      <c r="A144" s="41">
        <v>45431</v>
      </c>
      <c r="B144" s="48">
        <v>5.3480099999999986</v>
      </c>
      <c r="C144" s="38">
        <f t="shared" si="2"/>
        <v>1.4473009646631674E-4</v>
      </c>
    </row>
    <row r="145" spans="1:3" x14ac:dyDescent="0.25">
      <c r="A145" s="41">
        <v>45432</v>
      </c>
      <c r="B145" s="48">
        <v>5.3483499999999999</v>
      </c>
      <c r="C145" s="38">
        <f t="shared" si="2"/>
        <v>1.4473906274492521E-4</v>
      </c>
    </row>
    <row r="146" spans="1:3" x14ac:dyDescent="0.25">
      <c r="A146" s="41">
        <v>45433</v>
      </c>
      <c r="B146" s="48">
        <v>5.3484600000000002</v>
      </c>
      <c r="C146" s="38">
        <f t="shared" si="2"/>
        <v>1.4474196359359759E-4</v>
      </c>
    </row>
    <row r="147" spans="1:3" x14ac:dyDescent="0.25">
      <c r="A147" s="41">
        <v>45434</v>
      </c>
      <c r="B147" s="48">
        <v>5.3485699999999996</v>
      </c>
      <c r="C147" s="38">
        <f t="shared" si="2"/>
        <v>1.4474486443938339E-4</v>
      </c>
    </row>
    <row r="148" spans="1:3" x14ac:dyDescent="0.25">
      <c r="A148" s="41">
        <v>45435</v>
      </c>
      <c r="B148" s="48">
        <v>5.3486900000000004</v>
      </c>
      <c r="C148" s="38">
        <f t="shared" si="2"/>
        <v>1.4474802899466788E-4</v>
      </c>
    </row>
    <row r="149" spans="1:3" x14ac:dyDescent="0.25">
      <c r="A149" s="41">
        <v>45436</v>
      </c>
      <c r="B149" s="48">
        <v>5.3487</v>
      </c>
      <c r="C149" s="38">
        <f t="shared" si="2"/>
        <v>1.4474829270749723E-4</v>
      </c>
    </row>
    <row r="150" spans="1:3" x14ac:dyDescent="0.25">
      <c r="A150" s="41">
        <v>45437</v>
      </c>
      <c r="B150" s="48">
        <v>5.3487</v>
      </c>
      <c r="C150" s="38">
        <f t="shared" si="2"/>
        <v>1.4474829270749723E-4</v>
      </c>
    </row>
    <row r="151" spans="1:3" x14ac:dyDescent="0.25">
      <c r="A151" s="41">
        <v>45438</v>
      </c>
      <c r="B151" s="48">
        <v>5.3487</v>
      </c>
      <c r="C151" s="38">
        <f t="shared" si="2"/>
        <v>1.4474829270749723E-4</v>
      </c>
    </row>
    <row r="152" spans="1:3" x14ac:dyDescent="0.25">
      <c r="A152" s="41">
        <v>45439</v>
      </c>
      <c r="B152" s="48">
        <v>5.3487</v>
      </c>
      <c r="C152" s="38">
        <f t="shared" si="2"/>
        <v>1.4474829270749723E-4</v>
      </c>
    </row>
    <row r="153" spans="1:3" x14ac:dyDescent="0.25">
      <c r="A153" s="41">
        <v>45440</v>
      </c>
      <c r="B153" s="48">
        <v>5.3491099999999996</v>
      </c>
      <c r="C153" s="38">
        <f t="shared" si="2"/>
        <v>1.4475910491063004E-4</v>
      </c>
    </row>
    <row r="154" spans="1:3" x14ac:dyDescent="0.25">
      <c r="A154" s="41">
        <v>45441</v>
      </c>
      <c r="B154" s="48">
        <v>5.3492199999999999</v>
      </c>
      <c r="C154" s="38">
        <f t="shared" si="2"/>
        <v>1.4476200573843023E-4</v>
      </c>
    </row>
    <row r="155" spans="1:3" x14ac:dyDescent="0.25">
      <c r="A155" s="41">
        <v>45442</v>
      </c>
      <c r="B155" s="48">
        <v>5.3493399999999998</v>
      </c>
      <c r="C155" s="38">
        <f t="shared" si="2"/>
        <v>1.4476517027439684E-4</v>
      </c>
    </row>
    <row r="156" spans="1:3" x14ac:dyDescent="0.25">
      <c r="A156" s="41">
        <v>45443</v>
      </c>
      <c r="B156" s="48">
        <v>5.3495799999999996</v>
      </c>
      <c r="C156" s="38">
        <f t="shared" si="2"/>
        <v>1.4477149933544986E-4</v>
      </c>
    </row>
    <row r="157" spans="1:3" x14ac:dyDescent="0.25">
      <c r="A157" s="41">
        <v>45444</v>
      </c>
      <c r="B157" s="48">
        <v>5.3495799999999996</v>
      </c>
      <c r="C157" s="38">
        <f t="shared" si="2"/>
        <v>1.4477149933544986E-4</v>
      </c>
    </row>
    <row r="158" spans="1:3" x14ac:dyDescent="0.25">
      <c r="A158" s="41">
        <v>45445</v>
      </c>
      <c r="B158" s="48">
        <v>5.3495799999999996</v>
      </c>
      <c r="C158" s="38">
        <f t="shared" si="2"/>
        <v>1.4477149933544986E-4</v>
      </c>
    </row>
    <row r="159" spans="1:3" x14ac:dyDescent="0.25">
      <c r="A159" s="41">
        <v>45446</v>
      </c>
      <c r="B159" s="48">
        <v>5.3505699999999994</v>
      </c>
      <c r="C159" s="38">
        <f t="shared" si="2"/>
        <v>1.4479760656094243E-4</v>
      </c>
    </row>
    <row r="160" spans="1:3" x14ac:dyDescent="0.25">
      <c r="A160" s="41">
        <v>45447</v>
      </c>
      <c r="B160" s="48">
        <v>5.3510200000000001</v>
      </c>
      <c r="C160" s="38">
        <f t="shared" si="2"/>
        <v>1.4480947340067551E-4</v>
      </c>
    </row>
    <row r="161" spans="1:3" x14ac:dyDescent="0.25">
      <c r="A161" s="41">
        <v>45448</v>
      </c>
      <c r="B161" s="48">
        <v>5.3512500000000003</v>
      </c>
      <c r="C161" s="38">
        <f t="shared" si="2"/>
        <v>1.4481553865497432E-4</v>
      </c>
    </row>
    <row r="162" spans="1:3" x14ac:dyDescent="0.25">
      <c r="A162" s="41">
        <v>45449</v>
      </c>
      <c r="B162" s="48">
        <v>5.3514699999999999</v>
      </c>
      <c r="C162" s="38">
        <f t="shared" si="2"/>
        <v>1.4482134019000448E-4</v>
      </c>
    </row>
    <row r="163" spans="1:3" x14ac:dyDescent="0.25">
      <c r="A163" s="41">
        <v>45450</v>
      </c>
      <c r="B163" s="48">
        <v>5.3517199999999994</v>
      </c>
      <c r="C163" s="38">
        <f t="shared" si="2"/>
        <v>1.4482793282888373E-4</v>
      </c>
    </row>
    <row r="164" spans="1:3" x14ac:dyDescent="0.25">
      <c r="A164" s="41">
        <v>45451</v>
      </c>
      <c r="B164" s="48">
        <v>5.3517199999999994</v>
      </c>
      <c r="C164" s="38">
        <f t="shared" si="2"/>
        <v>1.4482793282888373E-4</v>
      </c>
    </row>
    <row r="165" spans="1:3" x14ac:dyDescent="0.25">
      <c r="A165" s="41">
        <v>45452</v>
      </c>
      <c r="B165" s="48">
        <v>5.3517199999999994</v>
      </c>
      <c r="C165" s="38">
        <f t="shared" si="2"/>
        <v>1.4482793282888373E-4</v>
      </c>
    </row>
    <row r="166" spans="1:3" x14ac:dyDescent="0.25">
      <c r="A166" s="41">
        <v>45453</v>
      </c>
      <c r="B166" s="48">
        <v>5.3523699999999996</v>
      </c>
      <c r="C166" s="38">
        <f t="shared" si="2"/>
        <v>1.4484507361678389E-4</v>
      </c>
    </row>
    <row r="167" spans="1:3" x14ac:dyDescent="0.25">
      <c r="A167" s="41">
        <v>45454</v>
      </c>
      <c r="B167" s="48">
        <v>5.3524900000000004</v>
      </c>
      <c r="C167" s="38">
        <f t="shared" si="2"/>
        <v>1.4484823805838154E-4</v>
      </c>
    </row>
    <row r="168" spans="1:3" x14ac:dyDescent="0.25">
      <c r="A168" s="41">
        <v>45455</v>
      </c>
      <c r="B168" s="48">
        <v>5.3525999999999998</v>
      </c>
      <c r="C168" s="38">
        <f t="shared" si="2"/>
        <v>1.4485113879336708E-4</v>
      </c>
    </row>
    <row r="169" spans="1:3" x14ac:dyDescent="0.25">
      <c r="A169" s="41">
        <v>45456</v>
      </c>
      <c r="B169" s="48">
        <v>5.3525999999999998</v>
      </c>
      <c r="C169" s="38">
        <f t="shared" si="2"/>
        <v>1.4485113879336708E-4</v>
      </c>
    </row>
    <row r="170" spans="1:3" x14ac:dyDescent="0.25">
      <c r="A170" s="41">
        <v>45457</v>
      </c>
      <c r="B170" s="48">
        <v>5.3526199999999999</v>
      </c>
      <c r="C170" s="38">
        <f t="shared" si="2"/>
        <v>1.4485166619948586E-4</v>
      </c>
    </row>
    <row r="171" spans="1:3" x14ac:dyDescent="0.25">
      <c r="A171" s="41">
        <v>45458</v>
      </c>
      <c r="B171" s="48">
        <v>5.3526199999999999</v>
      </c>
      <c r="C171" s="38">
        <f t="shared" si="2"/>
        <v>1.4485166619948586E-4</v>
      </c>
    </row>
    <row r="172" spans="1:3" x14ac:dyDescent="0.25">
      <c r="A172" s="41">
        <v>45459</v>
      </c>
      <c r="B172" s="48">
        <v>5.3526199999999999</v>
      </c>
      <c r="C172" s="38">
        <f t="shared" si="2"/>
        <v>1.4485166619948586E-4</v>
      </c>
    </row>
    <row r="173" spans="1:3" x14ac:dyDescent="0.25">
      <c r="A173" s="41">
        <v>45460</v>
      </c>
      <c r="B173" s="48">
        <v>5.3525999999999998</v>
      </c>
      <c r="C173" s="38">
        <f t="shared" si="2"/>
        <v>1.4485113879336708E-4</v>
      </c>
    </row>
    <row r="174" spans="1:3" x14ac:dyDescent="0.25">
      <c r="A174" s="41">
        <v>45461</v>
      </c>
      <c r="B174" s="48">
        <v>5.3528199999999986</v>
      </c>
      <c r="C174" s="38">
        <f t="shared" si="2"/>
        <v>1.4485694025445639E-4</v>
      </c>
    </row>
    <row r="175" spans="1:3" x14ac:dyDescent="0.25">
      <c r="A175" s="41">
        <v>45462</v>
      </c>
      <c r="B175" s="48">
        <v>5.3528199999999986</v>
      </c>
      <c r="C175" s="38">
        <f t="shared" si="2"/>
        <v>1.4485694025445639E-4</v>
      </c>
    </row>
    <row r="176" spans="1:3" x14ac:dyDescent="0.25">
      <c r="A176" s="41">
        <v>45463</v>
      </c>
      <c r="B176" s="48">
        <v>5.3532699999999993</v>
      </c>
      <c r="C176" s="38">
        <f t="shared" si="2"/>
        <v>1.4486880684150272E-4</v>
      </c>
    </row>
    <row r="177" spans="1:3" x14ac:dyDescent="0.25">
      <c r="A177" s="41">
        <v>45464</v>
      </c>
      <c r="B177" s="48">
        <v>5.3533999999999997</v>
      </c>
      <c r="C177" s="38">
        <f t="shared" si="2"/>
        <v>1.4487223495707191E-4</v>
      </c>
    </row>
    <row r="178" spans="1:3" x14ac:dyDescent="0.25">
      <c r="A178" s="41">
        <v>45465</v>
      </c>
      <c r="B178" s="48">
        <v>5.3533999999999997</v>
      </c>
      <c r="C178" s="38">
        <f t="shared" si="2"/>
        <v>1.4487223495707191E-4</v>
      </c>
    </row>
    <row r="179" spans="1:3" x14ac:dyDescent="0.25">
      <c r="A179" s="41">
        <v>45466</v>
      </c>
      <c r="B179" s="48">
        <v>5.3533999999999997</v>
      </c>
      <c r="C179" s="38">
        <f t="shared" si="2"/>
        <v>1.4487223495707191E-4</v>
      </c>
    </row>
    <row r="180" spans="1:3" x14ac:dyDescent="0.25">
      <c r="A180" s="41">
        <v>45467</v>
      </c>
      <c r="B180" s="48">
        <v>5.3533799999999996</v>
      </c>
      <c r="C180" s="38">
        <f t="shared" si="2"/>
        <v>1.4487170755494994E-4</v>
      </c>
    </row>
    <row r="181" spans="1:3" x14ac:dyDescent="0.25">
      <c r="A181" s="41">
        <v>45468</v>
      </c>
      <c r="B181" s="48">
        <v>5.3532699999999993</v>
      </c>
      <c r="C181" s="38">
        <f t="shared" si="2"/>
        <v>1.4486880684150272E-4</v>
      </c>
    </row>
    <row r="182" spans="1:3" x14ac:dyDescent="0.25">
      <c r="A182" s="41">
        <v>45469</v>
      </c>
      <c r="B182" s="48">
        <v>5.3532699999999993</v>
      </c>
      <c r="C182" s="38">
        <f t="shared" si="2"/>
        <v>1.4486880684150272E-4</v>
      </c>
    </row>
    <row r="183" spans="1:3" x14ac:dyDescent="0.25">
      <c r="A183" s="41">
        <v>45470</v>
      </c>
      <c r="B183" s="48">
        <v>5.3532900000000003</v>
      </c>
      <c r="C183" s="38">
        <f t="shared" si="2"/>
        <v>1.4486933424406878E-4</v>
      </c>
    </row>
    <row r="184" spans="1:3" x14ac:dyDescent="0.25">
      <c r="A184" s="41">
        <v>45471</v>
      </c>
      <c r="B184" s="48">
        <v>5.3533099999999996</v>
      </c>
      <c r="C184" s="38">
        <f t="shared" si="2"/>
        <v>1.4486986164663485E-4</v>
      </c>
    </row>
    <row r="185" spans="1:3" x14ac:dyDescent="0.25">
      <c r="A185" s="41">
        <v>45472</v>
      </c>
      <c r="B185" s="48">
        <v>5.3533099999999996</v>
      </c>
      <c r="C185" s="38">
        <f t="shared" si="2"/>
        <v>1.4486986164663485E-4</v>
      </c>
    </row>
    <row r="186" spans="1:3" x14ac:dyDescent="0.25">
      <c r="A186" s="41">
        <v>45473</v>
      </c>
      <c r="B186" s="48">
        <v>5.3533099999999996</v>
      </c>
      <c r="C186" s="38">
        <f t="shared" si="2"/>
        <v>1.4486986164663485E-4</v>
      </c>
    </row>
    <row r="187" spans="1:3" x14ac:dyDescent="0.25">
      <c r="A187" s="41">
        <v>45474</v>
      </c>
      <c r="B187" s="48">
        <v>5.3528399999999996</v>
      </c>
      <c r="C187" s="38">
        <f t="shared" si="2"/>
        <v>1.448574676592429E-4</v>
      </c>
    </row>
    <row r="188" spans="1:3" x14ac:dyDescent="0.25">
      <c r="A188" s="41">
        <v>45475</v>
      </c>
      <c r="B188" s="48">
        <v>5.3535199999999996</v>
      </c>
      <c r="C188" s="38">
        <f t="shared" si="2"/>
        <v>1.448753993680274E-4</v>
      </c>
    </row>
    <row r="189" spans="1:3" x14ac:dyDescent="0.25">
      <c r="A189" s="41">
        <v>45476</v>
      </c>
      <c r="B189" s="48">
        <v>5.3538600000000001</v>
      </c>
      <c r="C189" s="38">
        <f t="shared" si="2"/>
        <v>1.4488436517900993E-4</v>
      </c>
    </row>
    <row r="190" spans="1:3" x14ac:dyDescent="0.25">
      <c r="A190" s="41">
        <v>45477</v>
      </c>
      <c r="B190" s="48">
        <v>5.3538600000000001</v>
      </c>
      <c r="C190" s="38">
        <f t="shared" si="2"/>
        <v>1.4488436517900993E-4</v>
      </c>
    </row>
    <row r="191" spans="1:3" x14ac:dyDescent="0.25">
      <c r="A191" s="41">
        <v>45478</v>
      </c>
      <c r="B191" s="48">
        <v>5.3540900000000002</v>
      </c>
      <c r="C191" s="38">
        <f t="shared" si="2"/>
        <v>1.4489043027010595E-4</v>
      </c>
    </row>
    <row r="192" spans="1:3" x14ac:dyDescent="0.25">
      <c r="A192" s="41">
        <v>45479</v>
      </c>
      <c r="B192" s="48">
        <v>5.3540900000000002</v>
      </c>
      <c r="C192" s="38">
        <f t="shared" si="2"/>
        <v>1.4489043027010595E-4</v>
      </c>
    </row>
    <row r="193" spans="1:3" x14ac:dyDescent="0.25">
      <c r="A193" s="41">
        <v>45480</v>
      </c>
      <c r="B193" s="48">
        <v>5.3540900000000002</v>
      </c>
      <c r="C193" s="38">
        <f t="shared" si="2"/>
        <v>1.4489043027010595E-4</v>
      </c>
    </row>
    <row r="194" spans="1:3" x14ac:dyDescent="0.25">
      <c r="A194" s="41">
        <v>45481</v>
      </c>
      <c r="B194" s="48">
        <v>5.35419</v>
      </c>
      <c r="C194" s="38">
        <f t="shared" si="2"/>
        <v>1.4489306726206408E-4</v>
      </c>
    </row>
    <row r="195" spans="1:3" x14ac:dyDescent="0.25">
      <c r="A195" s="41">
        <v>45482</v>
      </c>
      <c r="B195" s="48">
        <v>5.3543000000000003</v>
      </c>
      <c r="C195" s="38">
        <f t="shared" si="2"/>
        <v>1.4489596795042026E-4</v>
      </c>
    </row>
    <row r="196" spans="1:3" x14ac:dyDescent="0.25">
      <c r="A196" s="41">
        <v>45483</v>
      </c>
      <c r="B196" s="48">
        <v>5.3546399999999998</v>
      </c>
      <c r="C196" s="38">
        <f t="shared" si="2"/>
        <v>1.449049336952335E-4</v>
      </c>
    </row>
    <row r="197" spans="1:3" x14ac:dyDescent="0.25">
      <c r="A197" s="41">
        <v>45484</v>
      </c>
      <c r="B197" s="48">
        <v>5.3549699999999998</v>
      </c>
      <c r="C197" s="38">
        <f t="shared" ref="C197:C260" si="3">(1+B197/100)^(1/360)-1</f>
        <v>1.4491363571411675E-4</v>
      </c>
    </row>
    <row r="198" spans="1:3" x14ac:dyDescent="0.25">
      <c r="A198" s="41">
        <v>45485</v>
      </c>
      <c r="B198" s="48">
        <v>5.3553300000000004</v>
      </c>
      <c r="C198" s="38">
        <f t="shared" si="3"/>
        <v>1.4492312879466063E-4</v>
      </c>
    </row>
    <row r="199" spans="1:3" x14ac:dyDescent="0.25">
      <c r="A199" s="41">
        <v>45486</v>
      </c>
      <c r="B199" s="48">
        <v>5.3553300000000004</v>
      </c>
      <c r="C199" s="38">
        <f t="shared" si="3"/>
        <v>1.4492312879466063E-4</v>
      </c>
    </row>
    <row r="200" spans="1:3" x14ac:dyDescent="0.25">
      <c r="A200" s="41">
        <v>45487</v>
      </c>
      <c r="B200" s="48">
        <v>5.3553300000000004</v>
      </c>
      <c r="C200" s="38">
        <f t="shared" si="3"/>
        <v>1.4492312879466063E-4</v>
      </c>
    </row>
    <row r="201" spans="1:3" x14ac:dyDescent="0.25">
      <c r="A201" s="41">
        <v>45488</v>
      </c>
      <c r="B201" s="48">
        <v>5.3562099999999999</v>
      </c>
      <c r="C201" s="38">
        <f t="shared" si="3"/>
        <v>1.449463339662227E-4</v>
      </c>
    </row>
    <row r="202" spans="1:3" x14ac:dyDescent="0.25">
      <c r="A202" s="41">
        <v>45489</v>
      </c>
      <c r="B202" s="48">
        <v>5.3565500000000004</v>
      </c>
      <c r="C202" s="38">
        <f t="shared" si="3"/>
        <v>1.4495529954894337E-4</v>
      </c>
    </row>
    <row r="203" spans="1:3" x14ac:dyDescent="0.25">
      <c r="A203" s="41">
        <v>45490</v>
      </c>
      <c r="B203" s="48">
        <v>5.3570000000000002</v>
      </c>
      <c r="C203" s="38">
        <f t="shared" si="3"/>
        <v>1.4496716571699153E-4</v>
      </c>
    </row>
    <row r="204" spans="1:3" x14ac:dyDescent="0.25">
      <c r="A204" s="41">
        <v>45491</v>
      </c>
      <c r="B204" s="48">
        <v>5.3575599999999994</v>
      </c>
      <c r="C204" s="38">
        <f t="shared" si="3"/>
        <v>1.4498193243350777E-4</v>
      </c>
    </row>
    <row r="205" spans="1:3" x14ac:dyDescent="0.25">
      <c r="A205" s="41">
        <v>45492</v>
      </c>
      <c r="B205" s="48">
        <v>5.35792</v>
      </c>
      <c r="C205" s="38">
        <f t="shared" si="3"/>
        <v>1.4499142528112685E-4</v>
      </c>
    </row>
    <row r="206" spans="1:3" x14ac:dyDescent="0.25">
      <c r="A206" s="41">
        <v>45493</v>
      </c>
      <c r="B206" s="48">
        <v>5.35792</v>
      </c>
      <c r="C206" s="38">
        <f t="shared" si="3"/>
        <v>1.4499142528112685E-4</v>
      </c>
    </row>
    <row r="207" spans="1:3" x14ac:dyDescent="0.25">
      <c r="A207" s="41">
        <v>45494</v>
      </c>
      <c r="B207" s="48">
        <v>5.35792</v>
      </c>
      <c r="C207" s="38">
        <f t="shared" si="3"/>
        <v>1.4499142528112685E-4</v>
      </c>
    </row>
    <row r="208" spans="1:3" x14ac:dyDescent="0.25">
      <c r="A208" s="41">
        <v>45495</v>
      </c>
      <c r="B208" s="48">
        <v>5.3589099999999998</v>
      </c>
      <c r="C208" s="38">
        <f t="shared" si="3"/>
        <v>1.4501753044582344E-4</v>
      </c>
    </row>
    <row r="209" spans="1:3" x14ac:dyDescent="0.25">
      <c r="A209" s="41">
        <v>45496</v>
      </c>
      <c r="B209" s="48">
        <v>5.35914</v>
      </c>
      <c r="C209" s="38">
        <f t="shared" si="3"/>
        <v>1.450235952469292E-4</v>
      </c>
    </row>
    <row r="210" spans="1:3" x14ac:dyDescent="0.25">
      <c r="A210" s="41">
        <v>45497</v>
      </c>
      <c r="B210" s="48">
        <v>5.3594799999999996</v>
      </c>
      <c r="C210" s="38">
        <f t="shared" si="3"/>
        <v>1.4503256058118197E-4</v>
      </c>
    </row>
    <row r="211" spans="1:3" x14ac:dyDescent="0.25">
      <c r="A211" s="41">
        <v>45498</v>
      </c>
      <c r="B211" s="48">
        <v>5.3598100000000004</v>
      </c>
      <c r="C211" s="38">
        <f t="shared" si="3"/>
        <v>1.4504126220127311E-4</v>
      </c>
    </row>
    <row r="212" spans="1:3" x14ac:dyDescent="0.25">
      <c r="A212" s="41">
        <v>45499</v>
      </c>
      <c r="B212" s="48">
        <v>5.3601700000000001</v>
      </c>
      <c r="C212" s="38">
        <f t="shared" si="3"/>
        <v>1.4505075484683161E-4</v>
      </c>
    </row>
    <row r="213" spans="1:3" x14ac:dyDescent="0.25">
      <c r="A213" s="41">
        <v>45500</v>
      </c>
      <c r="B213" s="48">
        <v>5.3601700000000001</v>
      </c>
      <c r="C213" s="38">
        <f t="shared" si="3"/>
        <v>1.4505075484683161E-4</v>
      </c>
    </row>
    <row r="214" spans="1:3" x14ac:dyDescent="0.25">
      <c r="A214" s="41">
        <v>45501</v>
      </c>
      <c r="B214" s="48">
        <v>5.3601700000000001</v>
      </c>
      <c r="C214" s="38">
        <f t="shared" si="3"/>
        <v>1.4505075484683161E-4</v>
      </c>
    </row>
    <row r="215" spans="1:3" x14ac:dyDescent="0.25">
      <c r="A215" s="41">
        <v>45502</v>
      </c>
      <c r="B215" s="48">
        <v>5.3611599999999999</v>
      </c>
      <c r="C215" s="38">
        <f t="shared" si="3"/>
        <v>1.4507685945552851E-4</v>
      </c>
    </row>
    <row r="216" spans="1:3" x14ac:dyDescent="0.25">
      <c r="A216" s="41">
        <v>45503</v>
      </c>
      <c r="B216" s="48">
        <v>5.3610499999999996</v>
      </c>
      <c r="C216" s="38">
        <f t="shared" si="3"/>
        <v>1.4507395895546615E-4</v>
      </c>
    </row>
    <row r="217" spans="1:3" x14ac:dyDescent="0.25">
      <c r="A217" s="41">
        <v>45504</v>
      </c>
      <c r="B217" s="48">
        <v>5.3611599999999999</v>
      </c>
      <c r="C217" s="38">
        <f t="shared" si="3"/>
        <v>1.4507685945552851E-4</v>
      </c>
    </row>
    <row r="218" spans="1:3" x14ac:dyDescent="0.25">
      <c r="A218" s="41">
        <v>45505</v>
      </c>
      <c r="B218" s="48">
        <v>5.3619500000000002</v>
      </c>
      <c r="C218" s="38">
        <f t="shared" si="3"/>
        <v>1.450976902304113E-4</v>
      </c>
    </row>
    <row r="219" spans="1:3" x14ac:dyDescent="0.25">
      <c r="A219" s="41">
        <v>45506</v>
      </c>
      <c r="B219" s="48">
        <v>5.3624199999999993</v>
      </c>
      <c r="C219" s="38">
        <f t="shared" si="3"/>
        <v>1.4511008314910256E-4</v>
      </c>
    </row>
    <row r="220" spans="1:3" x14ac:dyDescent="0.25">
      <c r="A220" s="41">
        <v>45507</v>
      </c>
      <c r="B220" s="48">
        <v>5.3624199999999993</v>
      </c>
      <c r="C220" s="38">
        <f t="shared" si="3"/>
        <v>1.4511008314910256E-4</v>
      </c>
    </row>
    <row r="221" spans="1:3" x14ac:dyDescent="0.25">
      <c r="A221" s="41">
        <v>45508</v>
      </c>
      <c r="B221" s="48">
        <v>5.3624199999999993</v>
      </c>
      <c r="C221" s="38">
        <f t="shared" si="3"/>
        <v>1.4511008314910256E-4</v>
      </c>
    </row>
    <row r="222" spans="1:3" x14ac:dyDescent="0.25">
      <c r="A222" s="41">
        <v>45509</v>
      </c>
      <c r="B222" s="48">
        <v>5.3637499999999996</v>
      </c>
      <c r="C222" s="38">
        <f t="shared" si="3"/>
        <v>1.4514515217367574E-4</v>
      </c>
    </row>
    <row r="223" spans="1:3" x14ac:dyDescent="0.25">
      <c r="A223" s="41">
        <v>45510</v>
      </c>
      <c r="B223" s="48">
        <v>5.3638699999999986</v>
      </c>
      <c r="C223" s="38">
        <f t="shared" si="3"/>
        <v>1.4514831627443492E-4</v>
      </c>
    </row>
    <row r="224" spans="1:3" x14ac:dyDescent="0.25">
      <c r="A224" s="41">
        <v>45511</v>
      </c>
      <c r="B224" s="48">
        <v>5.36409</v>
      </c>
      <c r="C224" s="38">
        <f t="shared" si="3"/>
        <v>1.4515411711668591E-4</v>
      </c>
    </row>
    <row r="225" spans="1:3" x14ac:dyDescent="0.25">
      <c r="A225" s="41">
        <v>45512</v>
      </c>
      <c r="B225" s="48">
        <v>5.3643199999999993</v>
      </c>
      <c r="C225" s="38">
        <f t="shared" si="3"/>
        <v>1.4516018162047395E-4</v>
      </c>
    </row>
    <row r="226" spans="1:3" x14ac:dyDescent="0.25">
      <c r="A226" s="41">
        <v>45513</v>
      </c>
      <c r="B226" s="48">
        <v>5.3646699999999994</v>
      </c>
      <c r="C226" s="38">
        <f t="shared" si="3"/>
        <v>1.4516941018793972E-4</v>
      </c>
    </row>
    <row r="227" spans="1:3" x14ac:dyDescent="0.25">
      <c r="A227" s="41">
        <v>45514</v>
      </c>
      <c r="B227" s="48">
        <v>5.3646699999999994</v>
      </c>
      <c r="C227" s="38">
        <f t="shared" si="3"/>
        <v>1.4516941018793972E-4</v>
      </c>
    </row>
    <row r="228" spans="1:3" x14ac:dyDescent="0.25">
      <c r="A228" s="41">
        <v>45515</v>
      </c>
      <c r="B228" s="48">
        <v>5.3646699999999994</v>
      </c>
      <c r="C228" s="38">
        <f t="shared" si="3"/>
        <v>1.4516941018793972E-4</v>
      </c>
    </row>
    <row r="229" spans="1:3" x14ac:dyDescent="0.25">
      <c r="A229" s="41">
        <v>45516</v>
      </c>
      <c r="B229" s="48">
        <v>5.3656699999999997</v>
      </c>
      <c r="C229" s="38">
        <f t="shared" si="3"/>
        <v>1.4519577735527811E-4</v>
      </c>
    </row>
    <row r="230" spans="1:3" x14ac:dyDescent="0.25">
      <c r="A230" s="41">
        <v>45517</v>
      </c>
      <c r="B230" s="48">
        <v>5.3659999999999997</v>
      </c>
      <c r="C230" s="38">
        <f t="shared" si="3"/>
        <v>1.4520447846555484E-4</v>
      </c>
    </row>
    <row r="231" spans="1:3" x14ac:dyDescent="0.25">
      <c r="A231" s="41">
        <v>45518</v>
      </c>
      <c r="B231" s="48">
        <v>5.3663400000000001</v>
      </c>
      <c r="C231" s="38">
        <f t="shared" si="3"/>
        <v>1.4521344321760665E-4</v>
      </c>
    </row>
    <row r="232" spans="1:3" x14ac:dyDescent="0.25">
      <c r="A232" s="41">
        <v>45519</v>
      </c>
      <c r="B232" s="48">
        <v>5.3665699999999994</v>
      </c>
      <c r="C232" s="38">
        <f t="shared" si="3"/>
        <v>1.4521950759238678E-4</v>
      </c>
    </row>
    <row r="233" spans="1:3" x14ac:dyDescent="0.25">
      <c r="A233" s="41">
        <v>45520</v>
      </c>
      <c r="B233" s="48">
        <v>5.3670400000000003</v>
      </c>
      <c r="C233" s="38">
        <f t="shared" si="3"/>
        <v>1.452318999692892E-4</v>
      </c>
    </row>
    <row r="234" spans="1:3" x14ac:dyDescent="0.25">
      <c r="A234" s="41">
        <v>45521</v>
      </c>
      <c r="B234" s="48">
        <v>5.3670400000000003</v>
      </c>
      <c r="C234" s="38">
        <f t="shared" si="3"/>
        <v>1.452318999692892E-4</v>
      </c>
    </row>
    <row r="235" spans="1:3" x14ac:dyDescent="0.25">
      <c r="A235" s="41">
        <v>45522</v>
      </c>
      <c r="B235" s="48">
        <v>5.3670400000000003</v>
      </c>
      <c r="C235" s="38">
        <f t="shared" si="3"/>
        <v>1.452318999692892E-4</v>
      </c>
    </row>
    <row r="236" spans="1:3" x14ac:dyDescent="0.25">
      <c r="A236" s="41">
        <v>45523</v>
      </c>
      <c r="B236" s="48">
        <v>5.3673599999999997</v>
      </c>
      <c r="C236" s="38">
        <f t="shared" si="3"/>
        <v>1.4524033730078934E-4</v>
      </c>
    </row>
    <row r="237" spans="1:3" x14ac:dyDescent="0.25">
      <c r="A237" s="41">
        <v>45524</v>
      </c>
      <c r="B237" s="48">
        <v>5.36747</v>
      </c>
      <c r="C237" s="38">
        <f t="shared" si="3"/>
        <v>1.4524323762743485E-4</v>
      </c>
    </row>
    <row r="238" spans="1:3" x14ac:dyDescent="0.25">
      <c r="A238" s="41">
        <v>45525</v>
      </c>
      <c r="B238" s="48">
        <v>5.3675800000000002</v>
      </c>
      <c r="C238" s="38">
        <f t="shared" si="3"/>
        <v>1.4524613795119379E-4</v>
      </c>
    </row>
    <row r="239" spans="1:3" x14ac:dyDescent="0.25">
      <c r="A239" s="41">
        <v>45526</v>
      </c>
      <c r="B239" s="48">
        <v>5.3675800000000002</v>
      </c>
      <c r="C239" s="38">
        <f t="shared" si="3"/>
        <v>1.4524613795119379E-4</v>
      </c>
    </row>
    <row r="240" spans="1:3" x14ac:dyDescent="0.25">
      <c r="A240" s="41">
        <v>45527</v>
      </c>
      <c r="B240" s="48">
        <v>5.3674900000000001</v>
      </c>
      <c r="C240" s="38">
        <f t="shared" si="3"/>
        <v>1.4524376495939073E-4</v>
      </c>
    </row>
    <row r="241" spans="1:3" x14ac:dyDescent="0.25">
      <c r="A241" s="41">
        <v>45528</v>
      </c>
      <c r="B241" s="48">
        <v>5.3674900000000001</v>
      </c>
      <c r="C241" s="38">
        <f t="shared" si="3"/>
        <v>1.4524376495939073E-4</v>
      </c>
    </row>
    <row r="242" spans="1:3" x14ac:dyDescent="0.25">
      <c r="A242" s="41">
        <v>45529</v>
      </c>
      <c r="B242" s="48">
        <v>5.3674900000000001</v>
      </c>
      <c r="C242" s="38">
        <f t="shared" si="3"/>
        <v>1.4524376495939073E-4</v>
      </c>
    </row>
    <row r="243" spans="1:3" x14ac:dyDescent="0.25">
      <c r="A243" s="41">
        <v>45530</v>
      </c>
      <c r="B243" s="48">
        <v>5.3678300000000014</v>
      </c>
      <c r="C243" s="38">
        <f t="shared" si="3"/>
        <v>1.4525272958487712E-4</v>
      </c>
    </row>
    <row r="244" spans="1:3" x14ac:dyDescent="0.25">
      <c r="A244" s="41">
        <v>45531</v>
      </c>
      <c r="B244" s="48">
        <v>5.3680599999999998</v>
      </c>
      <c r="C244" s="38">
        <f t="shared" si="3"/>
        <v>1.4525879387417007E-4</v>
      </c>
    </row>
    <row r="245" spans="1:3" x14ac:dyDescent="0.25">
      <c r="A245" s="41">
        <v>45532</v>
      </c>
      <c r="B245" s="48">
        <v>5.3682800000000004</v>
      </c>
      <c r="C245" s="38">
        <f t="shared" si="3"/>
        <v>1.452645944861608E-4</v>
      </c>
    </row>
    <row r="246" spans="1:3" x14ac:dyDescent="0.25">
      <c r="A246" s="41">
        <v>45533</v>
      </c>
      <c r="B246" s="48">
        <v>5.3685099999999997</v>
      </c>
      <c r="C246" s="38">
        <f t="shared" si="3"/>
        <v>1.4527065874947453E-4</v>
      </c>
    </row>
    <row r="247" spans="1:3" x14ac:dyDescent="0.25">
      <c r="A247" s="41">
        <v>45534</v>
      </c>
      <c r="B247" s="48">
        <v>5.3684099999999999</v>
      </c>
      <c r="C247" s="38">
        <f t="shared" si="3"/>
        <v>1.4526802211500822E-4</v>
      </c>
    </row>
    <row r="248" spans="1:3" x14ac:dyDescent="0.25">
      <c r="A248" s="41">
        <v>45535</v>
      </c>
      <c r="B248" s="48">
        <v>5.3684099999999999</v>
      </c>
      <c r="C248" s="38">
        <f t="shared" si="3"/>
        <v>1.4526802211500822E-4</v>
      </c>
    </row>
    <row r="249" spans="1:3" x14ac:dyDescent="0.25">
      <c r="A249" s="41">
        <v>45536</v>
      </c>
      <c r="B249" s="48">
        <v>5.3684099999999999</v>
      </c>
      <c r="C249" s="38">
        <f t="shared" si="3"/>
        <v>1.4526802211500822E-4</v>
      </c>
    </row>
    <row r="250" spans="1:3" x14ac:dyDescent="0.25">
      <c r="A250" s="41">
        <v>45537</v>
      </c>
      <c r="B250" s="48">
        <v>5.3684099999999999</v>
      </c>
      <c r="C250" s="38">
        <f t="shared" si="3"/>
        <v>1.4526802211500822E-4</v>
      </c>
    </row>
    <row r="251" spans="1:3" x14ac:dyDescent="0.25">
      <c r="A251" s="41">
        <v>45538</v>
      </c>
      <c r="B251" s="48">
        <v>5.36747</v>
      </c>
      <c r="C251" s="38">
        <f t="shared" si="3"/>
        <v>1.4524323762743485E-4</v>
      </c>
    </row>
    <row r="252" spans="1:3" x14ac:dyDescent="0.25">
      <c r="A252" s="41">
        <v>45539</v>
      </c>
      <c r="B252" s="48">
        <v>5.3675800000000002</v>
      </c>
      <c r="C252" s="38">
        <f t="shared" si="3"/>
        <v>1.4524613795119379E-4</v>
      </c>
    </row>
    <row r="253" spans="1:3" x14ac:dyDescent="0.25">
      <c r="A253" s="41">
        <v>45540</v>
      </c>
      <c r="B253" s="48">
        <v>5.3678100000000004</v>
      </c>
      <c r="C253" s="38">
        <f t="shared" si="3"/>
        <v>1.4525220225469759E-4</v>
      </c>
    </row>
    <row r="254" spans="1:3" x14ac:dyDescent="0.25">
      <c r="A254" s="41">
        <v>45541</v>
      </c>
      <c r="B254" s="48">
        <v>5.3680500000000002</v>
      </c>
      <c r="C254" s="38">
        <f t="shared" si="3"/>
        <v>1.4525853020952439E-4</v>
      </c>
    </row>
    <row r="255" spans="1:3" x14ac:dyDescent="0.25">
      <c r="A255" s="41">
        <v>45542</v>
      </c>
      <c r="B255" s="48">
        <v>5.3680500000000002</v>
      </c>
      <c r="C255" s="38">
        <f t="shared" si="3"/>
        <v>1.4525853020952439E-4</v>
      </c>
    </row>
    <row r="256" spans="1:3" x14ac:dyDescent="0.25">
      <c r="A256" s="41">
        <v>45543</v>
      </c>
      <c r="B256" s="48">
        <v>5.3680500000000002</v>
      </c>
      <c r="C256" s="38">
        <f t="shared" si="3"/>
        <v>1.4525853020952439E-4</v>
      </c>
    </row>
    <row r="257" spans="1:3" x14ac:dyDescent="0.25">
      <c r="A257" s="41">
        <v>45544</v>
      </c>
      <c r="B257" s="48">
        <v>5.3684799999999999</v>
      </c>
      <c r="C257" s="38">
        <f t="shared" si="3"/>
        <v>1.4526986775953432E-4</v>
      </c>
    </row>
    <row r="258" spans="1:3" x14ac:dyDescent="0.25">
      <c r="A258" s="41">
        <v>45545</v>
      </c>
      <c r="B258" s="48">
        <v>5.3687100000000001</v>
      </c>
      <c r="C258" s="38">
        <f t="shared" si="3"/>
        <v>1.4527593201130173E-4</v>
      </c>
    </row>
    <row r="259" spans="1:3" x14ac:dyDescent="0.25">
      <c r="A259" s="41">
        <v>45546</v>
      </c>
      <c r="B259" s="48">
        <v>5.3689300000000006</v>
      </c>
      <c r="C259" s="38">
        <f t="shared" si="3"/>
        <v>1.4528173258776533E-4</v>
      </c>
    </row>
    <row r="260" spans="1:3" x14ac:dyDescent="0.25">
      <c r="A260" s="41">
        <v>45547</v>
      </c>
      <c r="B260" s="48">
        <v>5.36904</v>
      </c>
      <c r="C260" s="38">
        <f t="shared" si="3"/>
        <v>1.4528463287155624E-4</v>
      </c>
    </row>
    <row r="261" spans="1:3" x14ac:dyDescent="0.25">
      <c r="A261" s="41">
        <v>45548</v>
      </c>
      <c r="B261" s="48">
        <v>5.3692900000000003</v>
      </c>
      <c r="C261" s="38">
        <f t="shared" ref="C261:C324" si="4">(1+B261/100)^(1/360)-1</f>
        <v>1.4529122441397924E-4</v>
      </c>
    </row>
    <row r="262" spans="1:3" x14ac:dyDescent="0.25">
      <c r="A262" s="41">
        <v>45549</v>
      </c>
      <c r="B262" s="48">
        <v>5.3692900000000003</v>
      </c>
      <c r="C262" s="38">
        <f t="shared" si="4"/>
        <v>1.4529122441397924E-4</v>
      </c>
    </row>
    <row r="263" spans="1:3" x14ac:dyDescent="0.25">
      <c r="A263" s="41">
        <v>45550</v>
      </c>
      <c r="B263" s="48">
        <v>5.3692900000000003</v>
      </c>
      <c r="C263" s="38">
        <f t="shared" si="4"/>
        <v>1.4529122441397924E-4</v>
      </c>
    </row>
    <row r="264" spans="1:3" x14ac:dyDescent="0.25">
      <c r="A264" s="41">
        <v>45551</v>
      </c>
      <c r="B264" s="48">
        <v>5.36972</v>
      </c>
      <c r="C264" s="38">
        <f t="shared" si="4"/>
        <v>1.453025618307624E-4</v>
      </c>
    </row>
    <row r="265" spans="1:3" x14ac:dyDescent="0.25">
      <c r="A265" s="41">
        <v>45552</v>
      </c>
      <c r="B265" s="48">
        <v>5.3702899999999998</v>
      </c>
      <c r="C265" s="38">
        <f t="shared" si="4"/>
        <v>1.4531759042846204E-4</v>
      </c>
    </row>
    <row r="266" spans="1:3" x14ac:dyDescent="0.25">
      <c r="A266" s="41">
        <v>45553</v>
      </c>
      <c r="B266" s="48">
        <v>5.3708499999999999</v>
      </c>
      <c r="C266" s="38">
        <f t="shared" si="4"/>
        <v>1.4533235528757515E-4</v>
      </c>
    </row>
    <row r="267" spans="1:3" x14ac:dyDescent="0.25">
      <c r="A267" s="41">
        <v>45554</v>
      </c>
      <c r="B267" s="48">
        <v>5.3709699999999998</v>
      </c>
      <c r="C267" s="38">
        <f t="shared" si="4"/>
        <v>1.453355191756156E-4</v>
      </c>
    </row>
    <row r="268" spans="1:3" x14ac:dyDescent="0.25">
      <c r="A268" s="41">
        <v>45555</v>
      </c>
      <c r="B268" s="48">
        <v>5.3654699999999993</v>
      </c>
      <c r="C268" s="38">
        <f t="shared" si="4"/>
        <v>1.4519050394179445E-4</v>
      </c>
    </row>
    <row r="269" spans="1:3" x14ac:dyDescent="0.25">
      <c r="A269" s="41">
        <v>45556</v>
      </c>
      <c r="B269" s="48">
        <v>5.3654699999999993</v>
      </c>
      <c r="C269" s="38">
        <f t="shared" si="4"/>
        <v>1.4519050394179445E-4</v>
      </c>
    </row>
    <row r="270" spans="1:3" x14ac:dyDescent="0.25">
      <c r="A270" s="41">
        <v>45557</v>
      </c>
      <c r="B270" s="48">
        <v>5.3654699999999993</v>
      </c>
      <c r="C270" s="38">
        <f t="shared" si="4"/>
        <v>1.4519050394179445E-4</v>
      </c>
    </row>
    <row r="271" spans="1:3" x14ac:dyDescent="0.25">
      <c r="A271" s="41">
        <v>45558</v>
      </c>
      <c r="B271" s="48">
        <v>5.34924</v>
      </c>
      <c r="C271" s="38">
        <f t="shared" si="4"/>
        <v>1.4476253316120236E-4</v>
      </c>
    </row>
    <row r="272" spans="1:3" x14ac:dyDescent="0.25">
      <c r="A272" s="41">
        <v>45559</v>
      </c>
      <c r="B272" s="48">
        <v>5.34361</v>
      </c>
      <c r="C272" s="38">
        <f t="shared" si="4"/>
        <v>1.4461405966859076E-4</v>
      </c>
    </row>
    <row r="273" spans="1:3" x14ac:dyDescent="0.25">
      <c r="A273" s="41">
        <v>45560</v>
      </c>
      <c r="B273" s="48">
        <v>5.3379799999999999</v>
      </c>
      <c r="C273" s="38">
        <f t="shared" si="4"/>
        <v>1.4446557826275352E-4</v>
      </c>
    </row>
    <row r="274" spans="1:3" x14ac:dyDescent="0.25">
      <c r="A274" s="41">
        <v>45561</v>
      </c>
      <c r="B274" s="48">
        <v>5.3323600000000004</v>
      </c>
      <c r="C274" s="38">
        <f t="shared" si="4"/>
        <v>1.4431735269648804E-4</v>
      </c>
    </row>
    <row r="275" spans="1:3" x14ac:dyDescent="0.25">
      <c r="A275" s="41">
        <v>45562</v>
      </c>
      <c r="B275" s="48">
        <v>5.3267499999999997</v>
      </c>
      <c r="C275" s="38">
        <f t="shared" si="4"/>
        <v>1.4416938301087256E-4</v>
      </c>
    </row>
    <row r="276" spans="1:3" x14ac:dyDescent="0.25">
      <c r="A276" s="41">
        <v>45563</v>
      </c>
      <c r="B276" s="48">
        <v>5.3267499999999997</v>
      </c>
      <c r="C276" s="38">
        <f t="shared" si="4"/>
        <v>1.4416938301087256E-4</v>
      </c>
    </row>
    <row r="277" spans="1:3" x14ac:dyDescent="0.25">
      <c r="A277" s="41">
        <v>45564</v>
      </c>
      <c r="B277" s="48">
        <v>5.3267499999999997</v>
      </c>
      <c r="C277" s="38">
        <f t="shared" si="4"/>
        <v>1.4416938301087256E-4</v>
      </c>
    </row>
    <row r="278" spans="1:3" x14ac:dyDescent="0.25">
      <c r="A278" s="41">
        <v>45565</v>
      </c>
      <c r="B278" s="48">
        <v>5.3094000000000001</v>
      </c>
      <c r="C278" s="38">
        <f t="shared" si="4"/>
        <v>1.4371170865934424E-4</v>
      </c>
    </row>
    <row r="279" spans="1:3" x14ac:dyDescent="0.25">
      <c r="A279" s="41">
        <v>45566</v>
      </c>
      <c r="B279" s="48">
        <v>5.3050100000000002</v>
      </c>
      <c r="C279" s="38">
        <f t="shared" si="4"/>
        <v>1.4359589325785294E-4</v>
      </c>
    </row>
    <row r="280" spans="1:3" x14ac:dyDescent="0.25">
      <c r="A280" s="41">
        <v>45567</v>
      </c>
      <c r="B280" s="48">
        <v>5.3018599999999996</v>
      </c>
      <c r="C280" s="38">
        <f t="shared" si="4"/>
        <v>1.4351278812352319E-4</v>
      </c>
    </row>
    <row r="281" spans="1:3" x14ac:dyDescent="0.25">
      <c r="A281" s="41">
        <v>45568</v>
      </c>
      <c r="B281" s="48">
        <v>5.29725</v>
      </c>
      <c r="C281" s="38">
        <f t="shared" si="4"/>
        <v>1.4339115995021245E-4</v>
      </c>
    </row>
    <row r="282" spans="1:3" x14ac:dyDescent="0.25">
      <c r="A282" s="41">
        <v>45569</v>
      </c>
      <c r="B282" s="48">
        <v>5.2919700000000001</v>
      </c>
      <c r="C282" s="38">
        <f t="shared" si="4"/>
        <v>1.4325184827290727E-4</v>
      </c>
    </row>
    <row r="283" spans="1:3" x14ac:dyDescent="0.25">
      <c r="A283" s="41">
        <v>45570</v>
      </c>
      <c r="B283" s="48">
        <v>5.2919700000000001</v>
      </c>
      <c r="C283" s="38">
        <f t="shared" si="4"/>
        <v>1.4325184827290727E-4</v>
      </c>
    </row>
    <row r="284" spans="1:3" x14ac:dyDescent="0.25">
      <c r="A284" s="41">
        <v>45571</v>
      </c>
      <c r="B284" s="48">
        <v>5.2919700000000001</v>
      </c>
      <c r="C284" s="38">
        <f t="shared" si="4"/>
        <v>1.4325184827290727E-4</v>
      </c>
    </row>
    <row r="285" spans="1:3" x14ac:dyDescent="0.25">
      <c r="A285" s="41">
        <v>45572</v>
      </c>
      <c r="B285" s="48">
        <v>5.2754099999999999</v>
      </c>
      <c r="C285" s="38">
        <f t="shared" si="4"/>
        <v>1.4281487100120671E-4</v>
      </c>
    </row>
    <row r="286" spans="1:3" x14ac:dyDescent="0.25">
      <c r="A286" s="41">
        <v>45573</v>
      </c>
      <c r="B286" s="48">
        <v>5.2696699999999996</v>
      </c>
      <c r="C286" s="38">
        <f t="shared" si="4"/>
        <v>1.4266339065938105E-4</v>
      </c>
    </row>
    <row r="287" spans="1:3" x14ac:dyDescent="0.25">
      <c r="A287" s="41">
        <v>45574</v>
      </c>
      <c r="B287" s="48">
        <v>5.2640500000000001</v>
      </c>
      <c r="C287" s="38">
        <f t="shared" si="4"/>
        <v>1.4251506917339896E-4</v>
      </c>
    </row>
    <row r="288" spans="1:3" x14ac:dyDescent="0.25">
      <c r="A288" s="41">
        <v>45575</v>
      </c>
      <c r="B288" s="48">
        <v>5.2583099999999998</v>
      </c>
      <c r="C288" s="38">
        <f t="shared" si="4"/>
        <v>1.4236357252883636E-4</v>
      </c>
    </row>
    <row r="289" spans="1:3" x14ac:dyDescent="0.25">
      <c r="A289" s="41">
        <v>45576</v>
      </c>
      <c r="B289" s="48">
        <v>5.2524699999999998</v>
      </c>
      <c r="C289" s="38">
        <f t="shared" si="4"/>
        <v>1.422094281147146E-4</v>
      </c>
    </row>
    <row r="290" spans="1:3" x14ac:dyDescent="0.25">
      <c r="A290" s="41">
        <v>45577</v>
      </c>
      <c r="B290" s="48">
        <v>5.2524699999999998</v>
      </c>
      <c r="C290" s="38">
        <f t="shared" si="4"/>
        <v>1.422094281147146E-4</v>
      </c>
    </row>
    <row r="291" spans="1:3" x14ac:dyDescent="0.25">
      <c r="A291" s="41">
        <v>45578</v>
      </c>
      <c r="B291" s="48">
        <v>5.2524699999999998</v>
      </c>
      <c r="C291" s="38">
        <f t="shared" si="4"/>
        <v>1.422094281147146E-4</v>
      </c>
    </row>
    <row r="292" spans="1:3" x14ac:dyDescent="0.25">
      <c r="A292" s="41">
        <v>45579</v>
      </c>
      <c r="B292" s="48">
        <v>5.2524699999999998</v>
      </c>
      <c r="C292" s="38">
        <f t="shared" si="4"/>
        <v>1.422094281147146E-4</v>
      </c>
    </row>
    <row r="293" spans="1:3" x14ac:dyDescent="0.25">
      <c r="A293" s="41">
        <v>45580</v>
      </c>
      <c r="B293" s="48">
        <v>5.2284600000000001</v>
      </c>
      <c r="C293" s="38">
        <f t="shared" si="4"/>
        <v>1.415756043456895E-4</v>
      </c>
    </row>
    <row r="294" spans="1:3" x14ac:dyDescent="0.25">
      <c r="A294" s="41">
        <v>45581</v>
      </c>
      <c r="B294" s="48">
        <v>5.22295</v>
      </c>
      <c r="C294" s="38">
        <f t="shared" si="4"/>
        <v>1.4143012923262255E-4</v>
      </c>
    </row>
    <row r="295" spans="1:3" x14ac:dyDescent="0.25">
      <c r="A295" s="41">
        <v>45582</v>
      </c>
      <c r="B295" s="48">
        <v>5.2175500000000001</v>
      </c>
      <c r="C295" s="38">
        <f t="shared" si="4"/>
        <v>1.4128755097053691E-4</v>
      </c>
    </row>
    <row r="296" spans="1:3" x14ac:dyDescent="0.25">
      <c r="A296" s="41">
        <v>45583</v>
      </c>
      <c r="B296" s="48">
        <v>5.2120499999999996</v>
      </c>
      <c r="C296" s="38">
        <f t="shared" si="4"/>
        <v>1.4114232486894807E-4</v>
      </c>
    </row>
    <row r="297" spans="1:3" x14ac:dyDescent="0.25">
      <c r="A297" s="41">
        <v>45584</v>
      </c>
      <c r="B297" s="48">
        <v>5.2120499999999996</v>
      </c>
      <c r="C297" s="38">
        <f t="shared" si="4"/>
        <v>1.4114232486894807E-4</v>
      </c>
    </row>
    <row r="298" spans="1:3" x14ac:dyDescent="0.25">
      <c r="A298" s="41">
        <v>45585</v>
      </c>
      <c r="B298" s="48">
        <v>5.2120499999999996</v>
      </c>
      <c r="C298" s="38">
        <f t="shared" si="4"/>
        <v>1.4114232486894807E-4</v>
      </c>
    </row>
    <row r="299" spans="1:3" x14ac:dyDescent="0.25">
      <c r="A299" s="41">
        <v>45586</v>
      </c>
      <c r="B299" s="48">
        <v>5.1952699999999998</v>
      </c>
      <c r="C299" s="38">
        <f t="shared" si="4"/>
        <v>1.4069920644810274E-4</v>
      </c>
    </row>
    <row r="300" spans="1:3" x14ac:dyDescent="0.25">
      <c r="A300" s="41">
        <v>45587</v>
      </c>
      <c r="B300" s="48">
        <v>5.1894200000000001</v>
      </c>
      <c r="C300" s="38">
        <f t="shared" si="4"/>
        <v>1.4054470580338041E-4</v>
      </c>
    </row>
    <row r="301" spans="1:3" x14ac:dyDescent="0.25">
      <c r="A301" s="41">
        <v>45588</v>
      </c>
      <c r="B301" s="48">
        <v>5.1836800000000007</v>
      </c>
      <c r="C301" s="38">
        <f t="shared" si="4"/>
        <v>1.4039310197055954E-4</v>
      </c>
    </row>
    <row r="302" spans="1:3" x14ac:dyDescent="0.25">
      <c r="A302" s="41">
        <v>45589</v>
      </c>
      <c r="B302" s="48">
        <v>5.1778199999999996</v>
      </c>
      <c r="C302" s="38">
        <f t="shared" si="4"/>
        <v>1.4023832020870763E-4</v>
      </c>
    </row>
    <row r="303" spans="1:3" x14ac:dyDescent="0.25">
      <c r="A303" s="41">
        <v>45590</v>
      </c>
      <c r="B303" s="48">
        <v>5.1719900000000001</v>
      </c>
      <c r="C303" s="38">
        <f t="shared" si="4"/>
        <v>1.4008432231071843E-4</v>
      </c>
    </row>
    <row r="304" spans="1:3" x14ac:dyDescent="0.25">
      <c r="A304" s="41">
        <v>45591</v>
      </c>
      <c r="B304" s="48">
        <v>5.1719900000000001</v>
      </c>
      <c r="C304" s="38">
        <f t="shared" si="4"/>
        <v>1.4008432231071843E-4</v>
      </c>
    </row>
    <row r="305" spans="1:3" x14ac:dyDescent="0.25">
      <c r="A305" s="41">
        <v>45592</v>
      </c>
      <c r="B305" s="48">
        <v>5.1719900000000001</v>
      </c>
      <c r="C305" s="38">
        <f t="shared" si="4"/>
        <v>1.4008432231071843E-4</v>
      </c>
    </row>
    <row r="306" spans="1:3" x14ac:dyDescent="0.25">
      <c r="A306" s="41">
        <v>45593</v>
      </c>
      <c r="B306" s="48">
        <v>5.1546500000000002</v>
      </c>
      <c r="C306" s="38">
        <f t="shared" si="4"/>
        <v>1.3962624050867234E-4</v>
      </c>
    </row>
    <row r="307" spans="1:3" x14ac:dyDescent="0.25">
      <c r="A307" s="41">
        <v>45594</v>
      </c>
      <c r="B307" s="48">
        <v>5.1489099999999999</v>
      </c>
      <c r="C307" s="38">
        <f t="shared" si="4"/>
        <v>1.3947458668495116E-4</v>
      </c>
    </row>
    <row r="308" spans="1:3" x14ac:dyDescent="0.25">
      <c r="A308" s="41">
        <v>45595</v>
      </c>
      <c r="B308" s="48">
        <v>5.1426099999999986</v>
      </c>
      <c r="C308" s="38">
        <f t="shared" si="4"/>
        <v>1.393081278628916E-4</v>
      </c>
    </row>
    <row r="309" spans="1:3" x14ac:dyDescent="0.25">
      <c r="A309" s="41">
        <v>45596</v>
      </c>
      <c r="B309" s="48">
        <v>5.1365299999999996</v>
      </c>
      <c r="C309" s="38">
        <f t="shared" si="4"/>
        <v>1.3914747245702408E-4</v>
      </c>
    </row>
    <row r="310" spans="1:3" x14ac:dyDescent="0.25">
      <c r="A310" s="41">
        <v>45597</v>
      </c>
      <c r="B310" s="48">
        <v>5.1314900000000003</v>
      </c>
      <c r="C310" s="38">
        <f t="shared" si="4"/>
        <v>1.390142905577374E-4</v>
      </c>
    </row>
    <row r="311" spans="1:3" x14ac:dyDescent="0.25">
      <c r="A311" s="41">
        <v>45598</v>
      </c>
      <c r="B311" s="48">
        <v>5.1314900000000003</v>
      </c>
      <c r="C311" s="38">
        <f t="shared" si="4"/>
        <v>1.390142905577374E-4</v>
      </c>
    </row>
    <row r="312" spans="1:3" x14ac:dyDescent="0.25">
      <c r="A312" s="41">
        <v>45599</v>
      </c>
      <c r="B312" s="48">
        <v>5.1314900000000003</v>
      </c>
      <c r="C312" s="38">
        <f t="shared" si="4"/>
        <v>1.390142905577374E-4</v>
      </c>
    </row>
    <row r="313" spans="1:3" x14ac:dyDescent="0.25">
      <c r="A313" s="41">
        <v>45600</v>
      </c>
      <c r="B313" s="48">
        <v>5.1152699999999998</v>
      </c>
      <c r="C313" s="38">
        <f t="shared" si="4"/>
        <v>1.3858563416024872E-4</v>
      </c>
    </row>
    <row r="314" spans="1:3" x14ac:dyDescent="0.25">
      <c r="A314" s="41">
        <v>45601</v>
      </c>
      <c r="B314" s="48">
        <v>5.1095300000000003</v>
      </c>
      <c r="C314" s="38">
        <f t="shared" si="4"/>
        <v>1.3843392367784979E-4</v>
      </c>
    </row>
    <row r="315" spans="1:3" x14ac:dyDescent="0.25">
      <c r="A315" s="41">
        <v>45602</v>
      </c>
      <c r="B315" s="48">
        <v>5.10379</v>
      </c>
      <c r="C315" s="38">
        <f t="shared" si="4"/>
        <v>1.3828220493339316E-4</v>
      </c>
    </row>
    <row r="316" spans="1:3" x14ac:dyDescent="0.25">
      <c r="A316" s="41">
        <v>45603</v>
      </c>
      <c r="B316" s="48">
        <v>5.0978300000000001</v>
      </c>
      <c r="C316" s="38">
        <f t="shared" si="4"/>
        <v>1.3812466244078614E-4</v>
      </c>
    </row>
    <row r="317" spans="1:3" x14ac:dyDescent="0.25">
      <c r="A317" s="41">
        <v>45604</v>
      </c>
      <c r="B317" s="48">
        <v>5.0919999999999996</v>
      </c>
      <c r="C317" s="38">
        <f t="shared" si="4"/>
        <v>1.3797054765740668E-4</v>
      </c>
    </row>
    <row r="318" spans="1:3" x14ac:dyDescent="0.25">
      <c r="A318" s="41">
        <v>45605</v>
      </c>
      <c r="B318" s="48">
        <v>5.0919999999999996</v>
      </c>
      <c r="C318" s="38">
        <f t="shared" si="4"/>
        <v>1.3797054765740668E-4</v>
      </c>
    </row>
    <row r="319" spans="1:3" x14ac:dyDescent="0.25">
      <c r="A319" s="41">
        <v>45606</v>
      </c>
      <c r="B319" s="48">
        <v>5.0919999999999996</v>
      </c>
      <c r="C319" s="38">
        <f t="shared" si="4"/>
        <v>1.3797054765740668E-4</v>
      </c>
    </row>
    <row r="320" spans="1:3" x14ac:dyDescent="0.25">
      <c r="A320" s="41">
        <v>45607</v>
      </c>
      <c r="B320" s="48">
        <v>5.0919999999999996</v>
      </c>
      <c r="C320" s="38">
        <f t="shared" si="4"/>
        <v>1.3797054765740668E-4</v>
      </c>
    </row>
    <row r="321" spans="1:3" x14ac:dyDescent="0.25">
      <c r="A321" s="41">
        <v>45608</v>
      </c>
      <c r="B321" s="48">
        <v>5.0586699999999993</v>
      </c>
      <c r="C321" s="38">
        <f t="shared" si="4"/>
        <v>1.3708931261691149E-4</v>
      </c>
    </row>
    <row r="322" spans="1:3" x14ac:dyDescent="0.25">
      <c r="A322" s="41">
        <v>45609</v>
      </c>
      <c r="B322" s="48">
        <v>5.0504499999999997</v>
      </c>
      <c r="C322" s="38">
        <f t="shared" si="4"/>
        <v>1.368719354648551E-4</v>
      </c>
    </row>
    <row r="323" spans="1:3" x14ac:dyDescent="0.25">
      <c r="A323" s="41">
        <v>45610</v>
      </c>
      <c r="B323" s="48">
        <v>5.0419</v>
      </c>
      <c r="C323" s="38">
        <f t="shared" si="4"/>
        <v>1.3664581349481786E-4</v>
      </c>
    </row>
    <row r="324" spans="1:3" x14ac:dyDescent="0.25">
      <c r="A324" s="41">
        <v>45611</v>
      </c>
      <c r="B324" s="48">
        <v>5.0335999999999999</v>
      </c>
      <c r="C324" s="38">
        <f t="shared" si="4"/>
        <v>1.364262857204146E-4</v>
      </c>
    </row>
    <row r="325" spans="1:3" x14ac:dyDescent="0.25">
      <c r="A325" s="41">
        <v>45612</v>
      </c>
      <c r="B325" s="48">
        <v>5.0335999999999999</v>
      </c>
      <c r="C325" s="38">
        <f t="shared" ref="C325:C369" si="5">(1+B325/100)^(1/360)-1</f>
        <v>1.364262857204146E-4</v>
      </c>
    </row>
    <row r="326" spans="1:3" x14ac:dyDescent="0.25">
      <c r="A326" s="41">
        <v>45613</v>
      </c>
      <c r="B326" s="48">
        <v>5.0335999999999999</v>
      </c>
      <c r="C326" s="38">
        <f t="shared" si="5"/>
        <v>1.364262857204146E-4</v>
      </c>
    </row>
    <row r="327" spans="1:3" x14ac:dyDescent="0.25">
      <c r="A327" s="41">
        <v>45614</v>
      </c>
      <c r="B327" s="48">
        <v>5.0082800000000001</v>
      </c>
      <c r="C327" s="38">
        <f t="shared" si="5"/>
        <v>1.357564868647021E-4</v>
      </c>
    </row>
    <row r="328" spans="1:3" x14ac:dyDescent="0.25">
      <c r="A328" s="41">
        <v>45615</v>
      </c>
      <c r="B328" s="48">
        <v>4.9998399999999998</v>
      </c>
      <c r="C328" s="38">
        <f t="shared" si="5"/>
        <v>1.3553318478876086E-4</v>
      </c>
    </row>
    <row r="329" spans="1:3" x14ac:dyDescent="0.25">
      <c r="A329" s="41">
        <v>45616</v>
      </c>
      <c r="B329" s="48">
        <v>4.9915200000000004</v>
      </c>
      <c r="C329" s="38">
        <f t="shared" si="5"/>
        <v>1.3531304010383494E-4</v>
      </c>
    </row>
    <row r="330" spans="1:3" x14ac:dyDescent="0.25">
      <c r="A330" s="41">
        <v>45617</v>
      </c>
      <c r="B330" s="48">
        <v>4.9830800000000002</v>
      </c>
      <c r="C330" s="38">
        <f t="shared" si="5"/>
        <v>1.3508970247944063E-4</v>
      </c>
    </row>
    <row r="331" spans="1:3" x14ac:dyDescent="0.25">
      <c r="A331" s="41">
        <v>45618</v>
      </c>
      <c r="B331" s="48">
        <v>4.9745499999999998</v>
      </c>
      <c r="C331" s="38">
        <f t="shared" si="5"/>
        <v>1.3486396509931886E-4</v>
      </c>
    </row>
    <row r="332" spans="1:3" x14ac:dyDescent="0.25">
      <c r="A332" s="41">
        <v>45619</v>
      </c>
      <c r="B332" s="48">
        <v>4.9745499999999998</v>
      </c>
      <c r="C332" s="38">
        <f t="shared" si="5"/>
        <v>1.3486396509931886E-4</v>
      </c>
    </row>
    <row r="333" spans="1:3" x14ac:dyDescent="0.25">
      <c r="A333" s="41">
        <v>45620</v>
      </c>
      <c r="B333" s="48">
        <v>4.9745499999999998</v>
      </c>
      <c r="C333" s="38">
        <f t="shared" si="5"/>
        <v>1.3486396509931886E-4</v>
      </c>
    </row>
    <row r="334" spans="1:3" x14ac:dyDescent="0.25">
      <c r="A334" s="41">
        <v>45621</v>
      </c>
      <c r="B334" s="48">
        <v>4.9487800000000002</v>
      </c>
      <c r="C334" s="38">
        <f t="shared" si="5"/>
        <v>1.3418187832714423E-4</v>
      </c>
    </row>
    <row r="335" spans="1:3" x14ac:dyDescent="0.25">
      <c r="A335" s="41">
        <v>45622</v>
      </c>
      <c r="B335" s="48">
        <v>4.9401199999999994</v>
      </c>
      <c r="C335" s="38">
        <f t="shared" si="5"/>
        <v>1.3395262579751765E-4</v>
      </c>
    </row>
    <row r="336" spans="1:3" x14ac:dyDescent="0.25">
      <c r="A336" s="41">
        <v>45623</v>
      </c>
      <c r="B336" s="48">
        <v>4.9314600000000004</v>
      </c>
      <c r="C336" s="38">
        <f t="shared" si="5"/>
        <v>1.3372335440098304E-4</v>
      </c>
    </row>
    <row r="337" spans="1:3" x14ac:dyDescent="0.25">
      <c r="A337" s="41">
        <v>45624</v>
      </c>
      <c r="B337" s="48">
        <v>4.9314600000000004</v>
      </c>
      <c r="C337" s="38">
        <f t="shared" si="5"/>
        <v>1.3372335440098304E-4</v>
      </c>
    </row>
    <row r="338" spans="1:3" x14ac:dyDescent="0.25">
      <c r="A338" s="41">
        <v>45625</v>
      </c>
      <c r="B338" s="48">
        <v>4.9145000000000003</v>
      </c>
      <c r="C338" s="38">
        <f t="shared" si="5"/>
        <v>1.3327428785236961E-4</v>
      </c>
    </row>
    <row r="339" spans="1:3" x14ac:dyDescent="0.25">
      <c r="A339" s="41">
        <v>45626</v>
      </c>
      <c r="B339" s="48">
        <v>4.9145000000000003</v>
      </c>
      <c r="C339" s="38">
        <f t="shared" si="5"/>
        <v>1.3327428785236961E-4</v>
      </c>
    </row>
    <row r="340" spans="1:3" x14ac:dyDescent="0.25">
      <c r="A340" s="41">
        <v>45627</v>
      </c>
      <c r="B340" s="48">
        <v>4.9145000000000003</v>
      </c>
      <c r="C340" s="38">
        <f t="shared" si="5"/>
        <v>1.3327428785236961E-4</v>
      </c>
    </row>
    <row r="341" spans="1:3" x14ac:dyDescent="0.25">
      <c r="A341" s="41">
        <v>45628</v>
      </c>
      <c r="B341" s="48">
        <v>4.8898800000000007</v>
      </c>
      <c r="C341" s="38">
        <f t="shared" si="5"/>
        <v>1.3262227113663982E-4</v>
      </c>
    </row>
    <row r="342" spans="1:3" x14ac:dyDescent="0.25">
      <c r="A342" s="41">
        <v>45629</v>
      </c>
      <c r="B342" s="48">
        <v>4.8820100000000002</v>
      </c>
      <c r="C342" s="38">
        <f t="shared" si="5"/>
        <v>1.3241381605610947E-4</v>
      </c>
    </row>
    <row r="343" spans="1:3" x14ac:dyDescent="0.25">
      <c r="A343" s="41">
        <v>45630</v>
      </c>
      <c r="B343" s="48">
        <v>4.8740199999999998</v>
      </c>
      <c r="C343" s="38">
        <f t="shared" si="5"/>
        <v>1.3220216654175054E-4</v>
      </c>
    </row>
    <row r="344" spans="1:3" x14ac:dyDescent="0.25">
      <c r="A344" s="41">
        <v>45631</v>
      </c>
      <c r="B344" s="48">
        <v>4.8654800000000007</v>
      </c>
      <c r="C344" s="38">
        <f t="shared" si="5"/>
        <v>1.3197593013236641E-4</v>
      </c>
    </row>
    <row r="345" spans="1:3" x14ac:dyDescent="0.25">
      <c r="A345" s="41">
        <v>45632</v>
      </c>
      <c r="B345" s="48">
        <v>4.8570599999999997</v>
      </c>
      <c r="C345" s="38">
        <f t="shared" si="5"/>
        <v>1.3175285470090614E-4</v>
      </c>
    </row>
    <row r="346" spans="1:3" x14ac:dyDescent="0.25">
      <c r="A346" s="41">
        <v>45633</v>
      </c>
      <c r="B346" s="48">
        <v>4.8570599999999997</v>
      </c>
      <c r="C346" s="38">
        <f t="shared" si="5"/>
        <v>1.3175285470090614E-4</v>
      </c>
    </row>
    <row r="347" spans="1:3" x14ac:dyDescent="0.25">
      <c r="A347" s="41">
        <v>45634</v>
      </c>
      <c r="B347" s="48">
        <v>4.8570599999999997</v>
      </c>
      <c r="C347" s="38">
        <f t="shared" si="5"/>
        <v>1.3175285470090614E-4</v>
      </c>
    </row>
    <row r="348" spans="1:3" x14ac:dyDescent="0.25">
      <c r="A348" s="41">
        <v>45635</v>
      </c>
      <c r="B348" s="48">
        <v>4.83209</v>
      </c>
      <c r="C348" s="38">
        <f t="shared" si="5"/>
        <v>1.3109120647514239E-4</v>
      </c>
    </row>
    <row r="349" spans="1:3" x14ac:dyDescent="0.25">
      <c r="A349" s="41">
        <v>45636</v>
      </c>
      <c r="B349" s="48">
        <v>4.8242200000000004</v>
      </c>
      <c r="C349" s="38">
        <f t="shared" si="5"/>
        <v>1.3088263679605916E-4</v>
      </c>
    </row>
    <row r="350" spans="1:3" x14ac:dyDescent="0.25">
      <c r="A350" s="41">
        <v>45637</v>
      </c>
      <c r="B350" s="48">
        <v>4.8165699999999996</v>
      </c>
      <c r="C350" s="38">
        <f t="shared" si="5"/>
        <v>1.3067988255999197E-4</v>
      </c>
    </row>
    <row r="351" spans="1:3" x14ac:dyDescent="0.25">
      <c r="A351" s="41">
        <v>45638</v>
      </c>
      <c r="B351" s="48">
        <v>4.8085900000000006</v>
      </c>
      <c r="C351" s="38">
        <f t="shared" si="5"/>
        <v>1.3046836633678893E-4</v>
      </c>
    </row>
    <row r="352" spans="1:3" x14ac:dyDescent="0.25">
      <c r="A352" s="41">
        <v>45639</v>
      </c>
      <c r="B352" s="48">
        <v>4.8006199999999994</v>
      </c>
      <c r="C352" s="38">
        <f t="shared" si="5"/>
        <v>1.3025709914127326E-4</v>
      </c>
    </row>
    <row r="353" spans="1:3" x14ac:dyDescent="0.25">
      <c r="A353" s="41">
        <v>45640</v>
      </c>
      <c r="B353" s="48">
        <v>4.8006199999999994</v>
      </c>
      <c r="C353" s="38">
        <f t="shared" si="5"/>
        <v>1.3025709914127326E-4</v>
      </c>
    </row>
    <row r="354" spans="1:3" x14ac:dyDescent="0.25">
      <c r="A354" s="41">
        <v>45641</v>
      </c>
      <c r="B354" s="48">
        <v>4.8006199999999994</v>
      </c>
      <c r="C354" s="38">
        <f t="shared" si="5"/>
        <v>1.3025709914127326E-4</v>
      </c>
    </row>
    <row r="355" spans="1:3" x14ac:dyDescent="0.25">
      <c r="A355" s="41">
        <v>45642</v>
      </c>
      <c r="B355" s="48">
        <v>4.7754300000000001</v>
      </c>
      <c r="C355" s="38">
        <f t="shared" si="5"/>
        <v>1.2958926220485445E-4</v>
      </c>
    </row>
    <row r="356" spans="1:3" x14ac:dyDescent="0.25">
      <c r="A356" s="41">
        <v>45643</v>
      </c>
      <c r="B356" s="48">
        <v>4.76722</v>
      </c>
      <c r="C356" s="38">
        <f t="shared" si="5"/>
        <v>1.2937156419989826E-4</v>
      </c>
    </row>
    <row r="357" spans="1:3" x14ac:dyDescent="0.25">
      <c r="A357" s="41">
        <v>45644</v>
      </c>
      <c r="B357" s="48">
        <v>4.7592400000000001</v>
      </c>
      <c r="C357" s="38">
        <f t="shared" si="5"/>
        <v>1.2915994861617541E-4</v>
      </c>
    </row>
    <row r="358" spans="1:3" x14ac:dyDescent="0.25">
      <c r="A358" s="41">
        <v>45645</v>
      </c>
      <c r="B358" s="48">
        <v>4.7564299999999999</v>
      </c>
      <c r="C358" s="38">
        <f t="shared" si="5"/>
        <v>1.2908542852496652E-4</v>
      </c>
    </row>
    <row r="359" spans="1:3" x14ac:dyDescent="0.25">
      <c r="A359" s="41">
        <v>45646</v>
      </c>
      <c r="B359" s="48">
        <v>4.7504900000000001</v>
      </c>
      <c r="C359" s="38">
        <f t="shared" si="5"/>
        <v>1.2892789550766892E-4</v>
      </c>
    </row>
    <row r="360" spans="1:3" x14ac:dyDescent="0.25">
      <c r="A360" s="41">
        <v>45647</v>
      </c>
      <c r="B360" s="48">
        <v>4.7504900000000001</v>
      </c>
      <c r="C360" s="38">
        <f t="shared" si="5"/>
        <v>1.2892789550766892E-4</v>
      </c>
    </row>
    <row r="361" spans="1:3" x14ac:dyDescent="0.25">
      <c r="A361" s="41">
        <v>45648</v>
      </c>
      <c r="B361" s="48">
        <v>4.7504900000000001</v>
      </c>
      <c r="C361" s="38">
        <f t="shared" si="5"/>
        <v>1.2892789550766892E-4</v>
      </c>
    </row>
    <row r="362" spans="1:3" x14ac:dyDescent="0.25">
      <c r="A362" s="41">
        <v>45649</v>
      </c>
      <c r="B362" s="48">
        <v>4.7325999999999997</v>
      </c>
      <c r="C362" s="38">
        <f t="shared" si="5"/>
        <v>1.2845338618316937E-4</v>
      </c>
    </row>
    <row r="363" spans="1:3" x14ac:dyDescent="0.25">
      <c r="A363" s="41">
        <v>45650</v>
      </c>
      <c r="B363" s="48">
        <v>4.7266500000000002</v>
      </c>
      <c r="C363" s="38">
        <f t="shared" si="5"/>
        <v>1.2829555214599608E-4</v>
      </c>
    </row>
    <row r="364" spans="1:3" x14ac:dyDescent="0.25">
      <c r="A364" s="41">
        <v>45651</v>
      </c>
      <c r="B364" s="48">
        <v>4.7266500000000002</v>
      </c>
      <c r="C364" s="38">
        <f t="shared" si="5"/>
        <v>1.2829555214599608E-4</v>
      </c>
    </row>
    <row r="365" spans="1:3" x14ac:dyDescent="0.25">
      <c r="A365" s="41">
        <v>45652</v>
      </c>
      <c r="B365" s="48">
        <v>4.7168599999999996</v>
      </c>
      <c r="C365" s="38">
        <f t="shared" si="5"/>
        <v>1.2803583600717872E-4</v>
      </c>
    </row>
    <row r="366" spans="1:3" x14ac:dyDescent="0.25">
      <c r="A366" s="41">
        <v>45653</v>
      </c>
      <c r="B366" s="48">
        <v>4.7133900000000004</v>
      </c>
      <c r="C366" s="38">
        <f t="shared" si="5"/>
        <v>1.2794377554725678E-4</v>
      </c>
    </row>
    <row r="367" spans="1:3" x14ac:dyDescent="0.25">
      <c r="A367" s="41">
        <v>45654</v>
      </c>
      <c r="B367" s="48">
        <v>4.7133900000000004</v>
      </c>
      <c r="C367" s="38">
        <f t="shared" si="5"/>
        <v>1.2794377554725678E-4</v>
      </c>
    </row>
    <row r="368" spans="1:3" x14ac:dyDescent="0.25">
      <c r="A368" s="41">
        <v>45655</v>
      </c>
      <c r="B368" s="48">
        <v>4.7133900000000004</v>
      </c>
      <c r="C368" s="38">
        <f t="shared" si="5"/>
        <v>1.2794377554725678E-4</v>
      </c>
    </row>
    <row r="369" spans="1:4" x14ac:dyDescent="0.25">
      <c r="A369" s="41">
        <v>45656</v>
      </c>
      <c r="B369" s="48">
        <v>4.6992200000000004</v>
      </c>
      <c r="C369" s="38">
        <f t="shared" si="5"/>
        <v>1.2756780831413295E-4</v>
      </c>
    </row>
    <row r="370" spans="1:4" x14ac:dyDescent="0.25">
      <c r="A370" s="41">
        <v>45657</v>
      </c>
      <c r="B370" s="48">
        <v>4.6915699999999996</v>
      </c>
      <c r="C370" s="45">
        <f>(1+B370/100)^(1/360)-1</f>
        <v>1.2736481267450195E-4</v>
      </c>
      <c r="D370" s="45" t="s">
        <v>104</v>
      </c>
    </row>
    <row r="371" spans="1:4" x14ac:dyDescent="0.25">
      <c r="A371" s="2" t="s">
        <v>101</v>
      </c>
      <c r="C371" s="26">
        <f>FVSCHEDULE(1,C5:C370)-1</f>
        <v>5.3601411276299693E-2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AD71D-B2B1-48BE-924B-71D5EE06B6C5}">
  <sheetPr>
    <tabColor rgb="FF00B0F0"/>
  </sheetPr>
  <dimension ref="A1:A25"/>
  <sheetViews>
    <sheetView workbookViewId="0">
      <selection activeCell="A2" sqref="A2:A6"/>
    </sheetView>
  </sheetViews>
  <sheetFormatPr defaultRowHeight="15" x14ac:dyDescent="0.25"/>
  <cols>
    <col min="1" max="1" width="115" customWidth="1"/>
    <col min="3" max="3" width="9.42578125" bestFit="1" customWidth="1"/>
  </cols>
  <sheetData>
    <row r="1" spans="1:1" x14ac:dyDescent="0.25">
      <c r="A1" s="18" t="s">
        <v>79</v>
      </c>
    </row>
    <row r="2" spans="1:1" x14ac:dyDescent="0.25">
      <c r="A2" s="68" t="s">
        <v>192</v>
      </c>
    </row>
    <row r="3" spans="1:1" x14ac:dyDescent="0.25">
      <c r="A3" s="69"/>
    </row>
    <row r="4" spans="1:1" x14ac:dyDescent="0.25">
      <c r="A4" s="69"/>
    </row>
    <row r="5" spans="1:1" x14ac:dyDescent="0.25">
      <c r="A5" s="69"/>
    </row>
    <row r="6" spans="1:1" ht="138" customHeight="1" x14ac:dyDescent="0.25">
      <c r="A6" s="69"/>
    </row>
    <row r="7" spans="1:1" x14ac:dyDescent="0.25">
      <c r="A7" s="55"/>
    </row>
    <row r="8" spans="1:1" x14ac:dyDescent="0.25">
      <c r="A8" s="55"/>
    </row>
    <row r="9" spans="1:1" x14ac:dyDescent="0.25">
      <c r="A9" s="54"/>
    </row>
    <row r="10" spans="1:1" x14ac:dyDescent="0.25">
      <c r="A10" s="55"/>
    </row>
    <row r="11" spans="1:1" x14ac:dyDescent="0.25">
      <c r="A11" s="55"/>
    </row>
    <row r="12" spans="1:1" x14ac:dyDescent="0.25">
      <c r="A12" s="55"/>
    </row>
    <row r="13" spans="1:1" x14ac:dyDescent="0.25">
      <c r="A13" s="54"/>
    </row>
    <row r="14" spans="1:1" x14ac:dyDescent="0.25">
      <c r="A14" s="55"/>
    </row>
    <row r="15" spans="1:1" x14ac:dyDescent="0.25">
      <c r="A15" s="55"/>
    </row>
    <row r="16" spans="1:1" x14ac:dyDescent="0.25">
      <c r="A16" s="55"/>
    </row>
    <row r="17" spans="1:1" x14ac:dyDescent="0.25">
      <c r="A17" s="54"/>
    </row>
    <row r="18" spans="1:1" x14ac:dyDescent="0.25">
      <c r="A18" s="55"/>
    </row>
    <row r="19" spans="1:1" x14ac:dyDescent="0.25">
      <c r="A19" s="55"/>
    </row>
    <row r="20" spans="1:1" x14ac:dyDescent="0.25">
      <c r="A20" s="55"/>
    </row>
    <row r="21" spans="1:1" x14ac:dyDescent="0.25">
      <c r="A21" s="54"/>
    </row>
    <row r="22" spans="1:1" x14ac:dyDescent="0.25">
      <c r="A22" s="55"/>
    </row>
    <row r="23" spans="1:1" x14ac:dyDescent="0.25">
      <c r="A23" s="55"/>
    </row>
    <row r="24" spans="1:1" x14ac:dyDescent="0.25">
      <c r="A24" s="55"/>
    </row>
    <row r="25" spans="1:1" x14ac:dyDescent="0.25">
      <c r="A25" s="54"/>
    </row>
  </sheetData>
  <mergeCells count="1">
    <mergeCell ref="A2:A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754A6-20F2-447B-8DDE-AD49E251B637}">
  <sheetPr>
    <tabColor rgb="FF92D050"/>
  </sheetPr>
  <dimension ref="A1:B25"/>
  <sheetViews>
    <sheetView workbookViewId="0">
      <selection activeCell="A2" sqref="A2"/>
    </sheetView>
  </sheetViews>
  <sheetFormatPr defaultRowHeight="15" x14ac:dyDescent="0.25"/>
  <cols>
    <col min="1" max="1" width="97.28515625" customWidth="1"/>
    <col min="2" max="2" width="70.7109375" customWidth="1"/>
  </cols>
  <sheetData>
    <row r="1" spans="1:2" x14ac:dyDescent="0.25">
      <c r="A1" s="54" t="s">
        <v>124</v>
      </c>
      <c r="B1" s="18" t="s">
        <v>193</v>
      </c>
    </row>
    <row r="2" spans="1:2" ht="120" x14ac:dyDescent="0.25">
      <c r="A2" s="55" t="s">
        <v>125</v>
      </c>
    </row>
    <row r="3" spans="1:2" x14ac:dyDescent="0.25">
      <c r="A3" s="55"/>
    </row>
    <row r="4" spans="1:2" x14ac:dyDescent="0.25">
      <c r="A4" s="54" t="s">
        <v>126</v>
      </c>
    </row>
    <row r="5" spans="1:2" ht="120" x14ac:dyDescent="0.25">
      <c r="A5" s="54" t="s">
        <v>127</v>
      </c>
      <c r="B5" s="13" t="s">
        <v>156</v>
      </c>
    </row>
    <row r="6" spans="1:2" x14ac:dyDescent="0.25">
      <c r="A6" s="55" t="s">
        <v>140</v>
      </c>
    </row>
    <row r="7" spans="1:2" ht="60" x14ac:dyDescent="0.25">
      <c r="A7" s="55" t="s">
        <v>149</v>
      </c>
    </row>
    <row r="8" spans="1:2" x14ac:dyDescent="0.25">
      <c r="A8" s="55"/>
    </row>
    <row r="9" spans="1:2" ht="75" x14ac:dyDescent="0.25">
      <c r="A9" s="54" t="s">
        <v>128</v>
      </c>
      <c r="B9" s="64" t="s">
        <v>157</v>
      </c>
    </row>
    <row r="10" spans="1:2" ht="30" x14ac:dyDescent="0.25">
      <c r="A10" s="55" t="s">
        <v>139</v>
      </c>
    </row>
    <row r="11" spans="1:2" ht="30" x14ac:dyDescent="0.25">
      <c r="A11" s="55" t="s">
        <v>138</v>
      </c>
    </row>
    <row r="12" spans="1:2" x14ac:dyDescent="0.25">
      <c r="A12" s="55"/>
    </row>
    <row r="13" spans="1:2" ht="75" x14ac:dyDescent="0.25">
      <c r="A13" s="54" t="s">
        <v>129</v>
      </c>
      <c r="B13" s="64" t="s">
        <v>160</v>
      </c>
    </row>
    <row r="14" spans="1:2" ht="30" x14ac:dyDescent="0.25">
      <c r="A14" s="55" t="s">
        <v>137</v>
      </c>
    </row>
    <row r="15" spans="1:2" x14ac:dyDescent="0.25">
      <c r="A15" s="55" t="s">
        <v>136</v>
      </c>
    </row>
    <row r="16" spans="1:2" x14ac:dyDescent="0.25">
      <c r="A16" s="55"/>
    </row>
    <row r="17" spans="1:2" ht="60" x14ac:dyDescent="0.25">
      <c r="A17" s="54" t="s">
        <v>130</v>
      </c>
    </row>
    <row r="18" spans="1:2" ht="90" x14ac:dyDescent="0.25">
      <c r="A18" s="55" t="s">
        <v>135</v>
      </c>
      <c r="B18" s="55" t="s">
        <v>159</v>
      </c>
    </row>
    <row r="19" spans="1:2" ht="45" x14ac:dyDescent="0.25">
      <c r="A19" s="55" t="s">
        <v>134</v>
      </c>
    </row>
    <row r="20" spans="1:2" x14ac:dyDescent="0.25">
      <c r="A20" s="55"/>
    </row>
    <row r="21" spans="1:2" ht="45" x14ac:dyDescent="0.25">
      <c r="A21" s="54" t="s">
        <v>131</v>
      </c>
      <c r="B21" t="s">
        <v>158</v>
      </c>
    </row>
    <row r="22" spans="1:2" ht="30" x14ac:dyDescent="0.25">
      <c r="A22" s="55" t="s">
        <v>185</v>
      </c>
    </row>
    <row r="23" spans="1:2" ht="60" x14ac:dyDescent="0.25">
      <c r="A23" s="55" t="s">
        <v>133</v>
      </c>
    </row>
    <row r="24" spans="1:2" x14ac:dyDescent="0.25">
      <c r="A24" s="55"/>
    </row>
    <row r="25" spans="1:2" ht="45" x14ac:dyDescent="0.25">
      <c r="A25" s="54" t="s">
        <v>132</v>
      </c>
    </row>
  </sheetData>
  <hyperlinks>
    <hyperlink ref="B9" r:id="rId1" xr:uid="{7D7A072B-5977-47FA-8429-FDF1E007DBEB}"/>
    <hyperlink ref="B13" r:id="rId2" xr:uid="{A58FE776-CF7D-4D82-84B6-B414B84EA8B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F9935-97BC-4E3C-82EA-5365747BF869}">
  <sheetPr>
    <tabColor rgb="FF92D050"/>
  </sheetPr>
  <dimension ref="A1:AO42"/>
  <sheetViews>
    <sheetView workbookViewId="0">
      <selection activeCell="B38" sqref="B38"/>
    </sheetView>
  </sheetViews>
  <sheetFormatPr defaultRowHeight="15" x14ac:dyDescent="0.25"/>
  <cols>
    <col min="1" max="1" width="10.7109375" bestFit="1" customWidth="1"/>
    <col min="2" max="2" width="13.28515625" bestFit="1" customWidth="1"/>
    <col min="3" max="3" width="12.42578125" bestFit="1" customWidth="1"/>
    <col min="4" max="4" width="12.42578125" customWidth="1"/>
    <col min="5" max="5" width="14.5703125" bestFit="1" customWidth="1"/>
    <col min="6" max="6" width="1.7109375" customWidth="1"/>
    <col min="7" max="7" width="10.7109375" bestFit="1" customWidth="1"/>
    <col min="10" max="10" width="1.5703125" customWidth="1"/>
    <col min="11" max="11" width="13.42578125" customWidth="1"/>
    <col min="13" max="13" width="12.42578125" bestFit="1" customWidth="1"/>
    <col min="14" max="14" width="13" customWidth="1"/>
    <col min="15" max="15" width="14.5703125" bestFit="1" customWidth="1"/>
    <col min="16" max="16" width="1.85546875" customWidth="1"/>
    <col min="17" max="17" width="13.140625" customWidth="1"/>
    <col min="18" max="18" width="12.7109375" customWidth="1"/>
    <col min="19" max="19" width="13.140625" customWidth="1"/>
    <col min="20" max="20" width="12" customWidth="1"/>
    <col min="21" max="21" width="14.5703125" customWidth="1"/>
    <col min="22" max="22" width="1.7109375" customWidth="1"/>
    <col min="23" max="23" width="13.140625" customWidth="1"/>
    <col min="24" max="24" width="12.28515625" customWidth="1"/>
    <col min="25" max="25" width="1.5703125" customWidth="1"/>
    <col min="26" max="26" width="13.140625" bestFit="1" customWidth="1"/>
    <col min="27" max="27" width="13.28515625" bestFit="1" customWidth="1"/>
    <col min="28" max="28" width="9.28515625" bestFit="1" customWidth="1"/>
    <col min="29" max="29" width="11" bestFit="1" customWidth="1"/>
    <col min="30" max="30" width="14.5703125" bestFit="1" customWidth="1"/>
    <col min="31" max="31" width="2" customWidth="1"/>
    <col min="32" max="32" width="10.7109375" bestFit="1" customWidth="1"/>
    <col min="33" max="33" width="8.140625" bestFit="1" customWidth="1"/>
    <col min="35" max="35" width="11" bestFit="1" customWidth="1"/>
    <col min="36" max="36" width="1.5703125" customWidth="1"/>
    <col min="37" max="37" width="11.85546875" bestFit="1" customWidth="1"/>
    <col min="38" max="38" width="12.28515625" bestFit="1" customWidth="1"/>
    <col min="39" max="39" width="7.7109375" bestFit="1" customWidth="1"/>
    <col min="40" max="40" width="9.85546875" bestFit="1" customWidth="1"/>
    <col min="41" max="41" width="14.5703125" bestFit="1" customWidth="1"/>
  </cols>
  <sheetData>
    <row r="1" spans="1:41" x14ac:dyDescent="0.25">
      <c r="A1" s="18" t="s">
        <v>28</v>
      </c>
    </row>
    <row r="2" spans="1:41" x14ac:dyDescent="0.25">
      <c r="A2" s="70" t="s">
        <v>0</v>
      </c>
      <c r="B2" s="70"/>
      <c r="C2" s="70"/>
      <c r="D2" s="70"/>
      <c r="E2" s="70"/>
      <c r="G2" s="70" t="s">
        <v>80</v>
      </c>
      <c r="H2" s="70"/>
      <c r="I2" s="70"/>
      <c r="K2" s="70" t="s">
        <v>1</v>
      </c>
      <c r="L2" s="70"/>
      <c r="M2" s="70"/>
      <c r="N2" s="70"/>
      <c r="O2" s="70"/>
      <c r="Q2" s="70" t="s">
        <v>2</v>
      </c>
      <c r="R2" s="70"/>
      <c r="S2" s="70"/>
      <c r="T2" s="70"/>
      <c r="U2" s="70"/>
      <c r="W2" s="70" t="s">
        <v>3</v>
      </c>
      <c r="X2" s="70"/>
      <c r="Z2" s="70" t="s">
        <v>4</v>
      </c>
      <c r="AA2" s="70"/>
      <c r="AB2" s="70"/>
      <c r="AC2" s="70"/>
      <c r="AD2" s="70"/>
      <c r="AF2" s="70" t="s">
        <v>5</v>
      </c>
      <c r="AG2" s="70"/>
      <c r="AH2" s="70"/>
      <c r="AI2" s="70"/>
      <c r="AK2" s="70" t="s">
        <v>6</v>
      </c>
      <c r="AL2" s="70"/>
      <c r="AM2" s="70"/>
      <c r="AN2" s="70"/>
      <c r="AO2" s="70"/>
    </row>
    <row r="3" spans="1:41" x14ac:dyDescent="0.25">
      <c r="A3" s="1" t="s">
        <v>7</v>
      </c>
      <c r="B3" s="1" t="s">
        <v>8</v>
      </c>
      <c r="C3" s="1" t="s">
        <v>27</v>
      </c>
      <c r="D3" s="1" t="s">
        <v>9</v>
      </c>
      <c r="E3" s="1" t="s">
        <v>10</v>
      </c>
      <c r="G3" s="1" t="s">
        <v>7</v>
      </c>
      <c r="H3" s="1" t="s">
        <v>11</v>
      </c>
      <c r="I3" s="1" t="s">
        <v>12</v>
      </c>
      <c r="K3" s="1" t="s">
        <v>7</v>
      </c>
      <c r="L3" s="1" t="s">
        <v>8</v>
      </c>
      <c r="M3" s="1" t="s">
        <v>27</v>
      </c>
      <c r="N3" s="1" t="s">
        <v>13</v>
      </c>
      <c r="O3" s="1" t="s">
        <v>10</v>
      </c>
      <c r="Q3" s="1" t="s">
        <v>7</v>
      </c>
      <c r="R3" s="1" t="s">
        <v>8</v>
      </c>
      <c r="S3" s="1" t="s">
        <v>14</v>
      </c>
      <c r="T3" s="1" t="s">
        <v>9</v>
      </c>
      <c r="U3" s="1" t="s">
        <v>10</v>
      </c>
      <c r="W3" s="1" t="s">
        <v>15</v>
      </c>
      <c r="X3" s="1" t="s">
        <v>16</v>
      </c>
      <c r="Z3" s="1" t="s">
        <v>7</v>
      </c>
      <c r="AA3" s="1" t="s">
        <v>8</v>
      </c>
      <c r="AB3" s="1" t="s">
        <v>17</v>
      </c>
      <c r="AC3" s="1" t="s">
        <v>18</v>
      </c>
      <c r="AD3" s="1" t="s">
        <v>10</v>
      </c>
      <c r="AF3" s="1" t="s">
        <v>7</v>
      </c>
      <c r="AG3" s="1" t="s">
        <v>15</v>
      </c>
      <c r="AH3" s="1" t="s">
        <v>16</v>
      </c>
      <c r="AI3" s="1" t="s">
        <v>9</v>
      </c>
      <c r="AK3" s="1" t="s">
        <v>7</v>
      </c>
      <c r="AL3" s="1" t="s">
        <v>15</v>
      </c>
      <c r="AM3" s="1" t="s">
        <v>16</v>
      </c>
      <c r="AN3" s="1" t="s">
        <v>9</v>
      </c>
      <c r="AO3" s="1" t="s">
        <v>19</v>
      </c>
    </row>
    <row r="4" spans="1:41" x14ac:dyDescent="0.25">
      <c r="A4" s="2">
        <v>42735</v>
      </c>
      <c r="B4" s="14">
        <v>-100</v>
      </c>
      <c r="C4" s="14">
        <v>0</v>
      </c>
      <c r="D4" s="14">
        <v>100</v>
      </c>
      <c r="E4" s="14">
        <f>B4+C4</f>
        <v>-100</v>
      </c>
      <c r="G4" s="2">
        <v>42735</v>
      </c>
      <c r="H4" s="16">
        <v>100</v>
      </c>
      <c r="K4" s="2">
        <v>42735</v>
      </c>
      <c r="L4" s="14">
        <f>B4</f>
        <v>-100</v>
      </c>
      <c r="M4" s="14">
        <f>C4</f>
        <v>0</v>
      </c>
      <c r="N4" s="14">
        <f>H4/100*(-L4+M4)</f>
        <v>100</v>
      </c>
      <c r="O4" s="14">
        <f>SUM(L4:M4)</f>
        <v>-100</v>
      </c>
      <c r="Q4" s="2">
        <v>42735</v>
      </c>
      <c r="R4" s="14">
        <f t="shared" ref="R4:R14" si="0">B4</f>
        <v>-100</v>
      </c>
      <c r="S4" s="14">
        <f t="shared" ref="S4:S14" si="1">C4*$X$17</f>
        <v>0</v>
      </c>
      <c r="T4" s="14"/>
      <c r="U4" s="14">
        <f>SUM(R4:S4)</f>
        <v>-100</v>
      </c>
      <c r="W4" s="14">
        <f t="shared" ref="W4:W14" si="2">R4*($H$14/$H4)</f>
        <v>-163.67473828125</v>
      </c>
      <c r="X4" s="14">
        <f t="shared" ref="X4:X14" si="3">C4*($H$14/$H4)</f>
        <v>0</v>
      </c>
      <c r="Z4" s="2">
        <v>42735</v>
      </c>
      <c r="AA4" s="14">
        <f t="shared" ref="AA4:AA14" si="4">B4</f>
        <v>-100</v>
      </c>
      <c r="AB4" s="14">
        <v>0</v>
      </c>
      <c r="AC4" s="14">
        <v>100</v>
      </c>
      <c r="AD4" s="14">
        <f>SUM(AA4:AB4)</f>
        <v>-100</v>
      </c>
      <c r="AF4" s="2">
        <v>42735</v>
      </c>
      <c r="AG4" s="14">
        <f t="shared" ref="AG4:AG14" si="5">-B4*$H$14/H4</f>
        <v>163.67473828125</v>
      </c>
      <c r="AH4" s="14">
        <f t="shared" ref="AH4:AH14" si="6">C4*$H$14/H4</f>
        <v>0</v>
      </c>
      <c r="AI4" s="14"/>
      <c r="AK4" s="2">
        <v>42735</v>
      </c>
      <c r="AL4" s="14">
        <f>-B4*$H$14/H4</f>
        <v>163.67473828125</v>
      </c>
      <c r="AM4" s="14">
        <f t="shared" ref="AM4:AM14" si="7">C4*$H$14/H4</f>
        <v>0</v>
      </c>
      <c r="AN4" s="14"/>
      <c r="AO4" s="14">
        <f>-AL4+AM4</f>
        <v>-163.67473828125</v>
      </c>
    </row>
    <row r="5" spans="1:41" x14ac:dyDescent="0.25">
      <c r="A5" s="2">
        <v>43100</v>
      </c>
      <c r="B5" s="14">
        <v>0</v>
      </c>
      <c r="C5" s="14">
        <v>0</v>
      </c>
      <c r="D5" s="14">
        <v>110</v>
      </c>
      <c r="E5" s="14">
        <f t="shared" ref="E5:E13" si="8">B5+C5</f>
        <v>0</v>
      </c>
      <c r="G5" s="2">
        <v>43100</v>
      </c>
      <c r="H5" s="16">
        <v>105</v>
      </c>
      <c r="I5" s="6">
        <f>H5/H4-1</f>
        <v>5.0000000000000044E-2</v>
      </c>
      <c r="K5" s="2">
        <v>43100</v>
      </c>
      <c r="L5" s="14">
        <f t="shared" ref="L5:M14" si="9">B5</f>
        <v>0</v>
      </c>
      <c r="M5" s="14">
        <f t="shared" si="9"/>
        <v>0</v>
      </c>
      <c r="N5" s="14">
        <f>(N4*(H5/H4))-L5-M5</f>
        <v>105</v>
      </c>
      <c r="O5" s="14">
        <f t="shared" ref="O5:O13" si="10">SUM(L5:M5)</f>
        <v>0</v>
      </c>
      <c r="Q5" s="2">
        <v>43100</v>
      </c>
      <c r="R5" s="14">
        <f t="shared" si="0"/>
        <v>0</v>
      </c>
      <c r="S5" s="14">
        <f t="shared" si="1"/>
        <v>0</v>
      </c>
      <c r="T5" s="14"/>
      <c r="U5" s="14">
        <f t="shared" ref="U5:U13" si="11">SUM(R5:S5)</f>
        <v>0</v>
      </c>
      <c r="W5" s="14">
        <f t="shared" si="2"/>
        <v>0</v>
      </c>
      <c r="X5" s="14">
        <f t="shared" si="3"/>
        <v>0</v>
      </c>
      <c r="Z5" s="2">
        <v>43100</v>
      </c>
      <c r="AA5" s="14">
        <f t="shared" si="4"/>
        <v>0</v>
      </c>
      <c r="AB5" s="14">
        <f t="shared" ref="AB5:AB14" si="12">(C5/(C5+D5))*((AC4*H5/H4)-B5)</f>
        <v>0</v>
      </c>
      <c r="AC5" s="14">
        <f t="shared" ref="AC5:AC14" si="13">(1-(C5/(C5+D5)))*((AC4*H5/H4)-B5)</f>
        <v>105</v>
      </c>
      <c r="AD5" s="14">
        <f t="shared" ref="AD5:AD12" si="14">SUM(AA5:AB5)</f>
        <v>0</v>
      </c>
      <c r="AF5" s="2">
        <v>43100</v>
      </c>
      <c r="AG5" s="14">
        <f t="shared" si="5"/>
        <v>0</v>
      </c>
      <c r="AH5" s="14">
        <f t="shared" si="6"/>
        <v>0</v>
      </c>
      <c r="AI5" s="14"/>
      <c r="AK5" s="2">
        <v>43100</v>
      </c>
      <c r="AL5" s="14">
        <f t="shared" ref="AL5:AL14" si="15">AG5</f>
        <v>0</v>
      </c>
      <c r="AM5" s="14">
        <f t="shared" si="7"/>
        <v>0</v>
      </c>
      <c r="AN5" s="14"/>
      <c r="AO5" s="14">
        <f t="shared" ref="AO5:AO12" si="16">-AL5+AM5</f>
        <v>0</v>
      </c>
    </row>
    <row r="6" spans="1:41" x14ac:dyDescent="0.25">
      <c r="A6" s="2">
        <v>43465</v>
      </c>
      <c r="B6" s="14">
        <v>-300</v>
      </c>
      <c r="C6" s="14">
        <v>0</v>
      </c>
      <c r="D6" s="14">
        <v>435</v>
      </c>
      <c r="E6" s="14">
        <f t="shared" si="8"/>
        <v>-300</v>
      </c>
      <c r="G6" s="2">
        <v>43465</v>
      </c>
      <c r="H6" s="16">
        <v>94.5</v>
      </c>
      <c r="I6" s="6">
        <f t="shared" ref="I6:I12" si="17">H6/H5-1</f>
        <v>-9.9999999999999978E-2</v>
      </c>
      <c r="K6" s="2">
        <v>43465</v>
      </c>
      <c r="L6" s="14">
        <f t="shared" si="9"/>
        <v>-300</v>
      </c>
      <c r="M6" s="14">
        <f t="shared" si="9"/>
        <v>0</v>
      </c>
      <c r="N6" s="14">
        <f>(N5*(H6/H5))-L6-M6</f>
        <v>394.5</v>
      </c>
      <c r="O6" s="14">
        <f t="shared" si="10"/>
        <v>-300</v>
      </c>
      <c r="Q6" s="2">
        <v>43465</v>
      </c>
      <c r="R6" s="14">
        <f t="shared" si="0"/>
        <v>-300</v>
      </c>
      <c r="S6" s="14">
        <f t="shared" si="1"/>
        <v>0</v>
      </c>
      <c r="T6" s="14"/>
      <c r="U6" s="14">
        <f t="shared" si="11"/>
        <v>-300</v>
      </c>
      <c r="W6" s="14">
        <f t="shared" si="2"/>
        <v>-519.60234375000005</v>
      </c>
      <c r="X6" s="14">
        <f t="shared" si="3"/>
        <v>0</v>
      </c>
      <c r="Z6" s="2">
        <v>43465</v>
      </c>
      <c r="AA6" s="14">
        <f t="shared" si="4"/>
        <v>-300</v>
      </c>
      <c r="AB6" s="14">
        <f t="shared" si="12"/>
        <v>0</v>
      </c>
      <c r="AC6" s="14">
        <f t="shared" si="13"/>
        <v>394.5</v>
      </c>
      <c r="AD6" s="14">
        <f t="shared" si="14"/>
        <v>-300</v>
      </c>
      <c r="AF6" s="2">
        <v>43465</v>
      </c>
      <c r="AG6" s="14">
        <f>-B6*$H$14/H6</f>
        <v>519.60234375000005</v>
      </c>
      <c r="AH6" s="14">
        <f t="shared" si="6"/>
        <v>0</v>
      </c>
      <c r="AI6" s="14"/>
      <c r="AK6" s="2">
        <v>43465</v>
      </c>
      <c r="AL6" s="14">
        <f t="shared" si="15"/>
        <v>519.60234375000005</v>
      </c>
      <c r="AM6" s="14">
        <f t="shared" si="7"/>
        <v>0</v>
      </c>
      <c r="AN6" s="14"/>
      <c r="AO6" s="14">
        <f t="shared" si="16"/>
        <v>-519.60234375000005</v>
      </c>
    </row>
    <row r="7" spans="1:41" x14ac:dyDescent="0.25">
      <c r="A7" s="2">
        <v>43830</v>
      </c>
      <c r="B7" s="14">
        <v>0</v>
      </c>
      <c r="C7" s="14">
        <v>0</v>
      </c>
      <c r="D7" s="14">
        <v>390</v>
      </c>
      <c r="E7" s="14">
        <f t="shared" si="8"/>
        <v>0</v>
      </c>
      <c r="G7" s="2">
        <v>43830</v>
      </c>
      <c r="H7" s="16">
        <v>80.325000000000003</v>
      </c>
      <c r="I7" s="6">
        <f t="shared" si="17"/>
        <v>-0.15000000000000002</v>
      </c>
      <c r="K7" s="2">
        <v>43830</v>
      </c>
      <c r="L7" s="14">
        <f t="shared" si="9"/>
        <v>0</v>
      </c>
      <c r="M7" s="14">
        <f t="shared" si="9"/>
        <v>0</v>
      </c>
      <c r="N7" s="14">
        <f t="shared" ref="N7:N13" si="18">(N6*(H7/H6))-L7-M7</f>
        <v>335.32499999999999</v>
      </c>
      <c r="O7" s="14">
        <f t="shared" si="10"/>
        <v>0</v>
      </c>
      <c r="Q7" s="2">
        <v>43830</v>
      </c>
      <c r="R7" s="14">
        <f t="shared" si="0"/>
        <v>0</v>
      </c>
      <c r="S7" s="14">
        <f t="shared" si="1"/>
        <v>0</v>
      </c>
      <c r="T7" s="14"/>
      <c r="U7" s="14">
        <f t="shared" si="11"/>
        <v>0</v>
      </c>
      <c r="W7" s="14">
        <f t="shared" si="2"/>
        <v>0</v>
      </c>
      <c r="X7" s="14">
        <f t="shared" si="3"/>
        <v>0</v>
      </c>
      <c r="Z7" s="2">
        <v>43830</v>
      </c>
      <c r="AA7" s="14">
        <f t="shared" si="4"/>
        <v>0</v>
      </c>
      <c r="AB7" s="14">
        <f t="shared" si="12"/>
        <v>0</v>
      </c>
      <c r="AC7" s="14">
        <f t="shared" si="13"/>
        <v>335.32499999999999</v>
      </c>
      <c r="AD7" s="14">
        <f t="shared" si="14"/>
        <v>0</v>
      </c>
      <c r="AF7" s="2">
        <v>43830</v>
      </c>
      <c r="AG7" s="14">
        <f t="shared" si="5"/>
        <v>0</v>
      </c>
      <c r="AH7" s="14">
        <f t="shared" si="6"/>
        <v>0</v>
      </c>
      <c r="AI7" s="14"/>
      <c r="AK7" s="2">
        <v>43830</v>
      </c>
      <c r="AL7" s="14">
        <f t="shared" si="15"/>
        <v>0</v>
      </c>
      <c r="AM7" s="14">
        <f t="shared" si="7"/>
        <v>0</v>
      </c>
      <c r="AN7" s="14"/>
      <c r="AO7" s="14">
        <f t="shared" si="16"/>
        <v>0</v>
      </c>
    </row>
    <row r="8" spans="1:41" x14ac:dyDescent="0.25">
      <c r="A8" s="2">
        <v>44196</v>
      </c>
      <c r="B8" s="14">
        <v>0</v>
      </c>
      <c r="C8" s="14">
        <v>0</v>
      </c>
      <c r="D8" s="14">
        <v>495</v>
      </c>
      <c r="E8" s="14">
        <f t="shared" si="8"/>
        <v>0</v>
      </c>
      <c r="G8" s="2">
        <v>44196</v>
      </c>
      <c r="H8" s="16">
        <v>96.39</v>
      </c>
      <c r="I8" s="6">
        <f t="shared" si="17"/>
        <v>0.19999999999999996</v>
      </c>
      <c r="K8" s="2">
        <v>44196</v>
      </c>
      <c r="L8" s="14">
        <f t="shared" si="9"/>
        <v>0</v>
      </c>
      <c r="M8" s="14">
        <f t="shared" si="9"/>
        <v>0</v>
      </c>
      <c r="N8" s="14">
        <f t="shared" si="18"/>
        <v>402.39</v>
      </c>
      <c r="O8" s="14">
        <f t="shared" si="10"/>
        <v>0</v>
      </c>
      <c r="Q8" s="2">
        <v>44196</v>
      </c>
      <c r="R8" s="14">
        <f t="shared" si="0"/>
        <v>0</v>
      </c>
      <c r="S8" s="14">
        <f t="shared" si="1"/>
        <v>0</v>
      </c>
      <c r="T8" s="14"/>
      <c r="U8" s="14">
        <f t="shared" si="11"/>
        <v>0</v>
      </c>
      <c r="W8" s="14">
        <f t="shared" si="2"/>
        <v>0</v>
      </c>
      <c r="X8" s="14">
        <f t="shared" si="3"/>
        <v>0</v>
      </c>
      <c r="Z8" s="2">
        <v>44196</v>
      </c>
      <c r="AA8" s="14">
        <f t="shared" si="4"/>
        <v>0</v>
      </c>
      <c r="AB8" s="14">
        <f t="shared" si="12"/>
        <v>0</v>
      </c>
      <c r="AC8" s="14">
        <f t="shared" si="13"/>
        <v>402.39</v>
      </c>
      <c r="AD8" s="14">
        <f t="shared" si="14"/>
        <v>0</v>
      </c>
      <c r="AF8" s="2">
        <v>44196</v>
      </c>
      <c r="AG8" s="14">
        <f t="shared" si="5"/>
        <v>0</v>
      </c>
      <c r="AH8" s="14">
        <f t="shared" si="6"/>
        <v>0</v>
      </c>
      <c r="AI8" s="14"/>
      <c r="AK8" s="2">
        <v>44196</v>
      </c>
      <c r="AL8" s="14">
        <f t="shared" si="15"/>
        <v>0</v>
      </c>
      <c r="AM8" s="14">
        <f t="shared" si="7"/>
        <v>0</v>
      </c>
      <c r="AN8" s="14"/>
      <c r="AO8" s="14">
        <f t="shared" si="16"/>
        <v>0</v>
      </c>
    </row>
    <row r="9" spans="1:41" x14ac:dyDescent="0.25">
      <c r="A9" s="2">
        <v>44561</v>
      </c>
      <c r="B9" s="14">
        <v>0</v>
      </c>
      <c r="C9" s="14">
        <v>100</v>
      </c>
      <c r="D9" s="14">
        <v>350</v>
      </c>
      <c r="E9" s="14">
        <f t="shared" si="8"/>
        <v>100</v>
      </c>
      <c r="G9" s="2">
        <v>44561</v>
      </c>
      <c r="H9" s="16">
        <v>86.751000000000005</v>
      </c>
      <c r="I9" s="6">
        <f t="shared" si="17"/>
        <v>-9.9999999999999978E-2</v>
      </c>
      <c r="K9" s="2">
        <v>44561</v>
      </c>
      <c r="L9" s="14">
        <f t="shared" si="9"/>
        <v>0</v>
      </c>
      <c r="M9" s="14">
        <f t="shared" si="9"/>
        <v>100</v>
      </c>
      <c r="N9" s="14">
        <f t="shared" si="18"/>
        <v>262.15100000000001</v>
      </c>
      <c r="O9" s="14">
        <f t="shared" si="10"/>
        <v>100</v>
      </c>
      <c r="Q9" s="2">
        <v>44561</v>
      </c>
      <c r="R9" s="14">
        <f t="shared" si="0"/>
        <v>0</v>
      </c>
      <c r="S9" s="14">
        <f t="shared" si="1"/>
        <v>92.17983216080404</v>
      </c>
      <c r="T9" s="14"/>
      <c r="U9" s="14">
        <f t="shared" si="11"/>
        <v>92.17983216080404</v>
      </c>
      <c r="W9" s="14">
        <f t="shared" si="2"/>
        <v>0</v>
      </c>
      <c r="X9" s="14">
        <f t="shared" si="3"/>
        <v>188.671875</v>
      </c>
      <c r="Z9" s="2">
        <v>44561</v>
      </c>
      <c r="AA9" s="14">
        <f t="shared" si="4"/>
        <v>0</v>
      </c>
      <c r="AB9" s="14">
        <f t="shared" si="12"/>
        <v>80.477999999999994</v>
      </c>
      <c r="AC9" s="14">
        <f t="shared" si="13"/>
        <v>281.673</v>
      </c>
      <c r="AD9" s="14">
        <f t="shared" si="14"/>
        <v>80.477999999999994</v>
      </c>
      <c r="AF9" s="2">
        <v>44561</v>
      </c>
      <c r="AG9" s="14">
        <f t="shared" si="5"/>
        <v>0</v>
      </c>
      <c r="AH9" s="14">
        <f>C9*$H$14/H9</f>
        <v>188.67187499999997</v>
      </c>
      <c r="AI9" s="14"/>
      <c r="AK9" s="2">
        <v>44561</v>
      </c>
      <c r="AL9" s="14">
        <f t="shared" si="15"/>
        <v>0</v>
      </c>
      <c r="AM9" s="14">
        <f t="shared" si="7"/>
        <v>188.67187499999997</v>
      </c>
      <c r="AN9" s="14"/>
      <c r="AO9" s="14">
        <f t="shared" si="16"/>
        <v>188.67187499999997</v>
      </c>
    </row>
    <row r="10" spans="1:41" x14ac:dyDescent="0.25">
      <c r="A10" s="2">
        <v>44926</v>
      </c>
      <c r="B10" s="14">
        <v>0</v>
      </c>
      <c r="C10" s="14">
        <v>0</v>
      </c>
      <c r="D10" s="14">
        <v>355</v>
      </c>
      <c r="E10" s="14">
        <f t="shared" si="8"/>
        <v>0</v>
      </c>
      <c r="G10" s="2">
        <v>44926</v>
      </c>
      <c r="H10" s="16">
        <v>91.088550000000012</v>
      </c>
      <c r="I10" s="6">
        <f t="shared" si="17"/>
        <v>5.0000000000000044E-2</v>
      </c>
      <c r="K10" s="2">
        <v>44926</v>
      </c>
      <c r="L10" s="14">
        <f t="shared" si="9"/>
        <v>0</v>
      </c>
      <c r="M10" s="14">
        <f t="shared" si="9"/>
        <v>0</v>
      </c>
      <c r="N10" s="14">
        <f t="shared" si="18"/>
        <v>275.25855000000001</v>
      </c>
      <c r="O10" s="14">
        <f t="shared" si="10"/>
        <v>0</v>
      </c>
      <c r="Q10" s="2">
        <v>44926</v>
      </c>
      <c r="R10" s="14">
        <f t="shared" si="0"/>
        <v>0</v>
      </c>
      <c r="S10" s="14">
        <f t="shared" si="1"/>
        <v>0</v>
      </c>
      <c r="T10" s="14"/>
      <c r="U10" s="14">
        <f t="shared" si="11"/>
        <v>0</v>
      </c>
      <c r="W10" s="14">
        <f t="shared" si="2"/>
        <v>0</v>
      </c>
      <c r="X10" s="14">
        <f t="shared" si="3"/>
        <v>0</v>
      </c>
      <c r="Z10" s="2">
        <v>44926</v>
      </c>
      <c r="AA10" s="14">
        <f t="shared" si="4"/>
        <v>0</v>
      </c>
      <c r="AB10" s="14">
        <f t="shared" si="12"/>
        <v>0</v>
      </c>
      <c r="AC10" s="14">
        <f t="shared" si="13"/>
        <v>295.75665000000004</v>
      </c>
      <c r="AD10" s="14">
        <f t="shared" si="14"/>
        <v>0</v>
      </c>
      <c r="AF10" s="2">
        <v>44926</v>
      </c>
      <c r="AG10" s="14">
        <f t="shared" si="5"/>
        <v>0</v>
      </c>
      <c r="AH10" s="14">
        <f t="shared" si="6"/>
        <v>0</v>
      </c>
      <c r="AI10" s="14"/>
      <c r="AK10" s="2">
        <v>44926</v>
      </c>
      <c r="AL10" s="14">
        <f t="shared" si="15"/>
        <v>0</v>
      </c>
      <c r="AM10" s="14">
        <f t="shared" si="7"/>
        <v>0</v>
      </c>
      <c r="AN10" s="14"/>
      <c r="AO10" s="14">
        <f t="shared" si="16"/>
        <v>0</v>
      </c>
    </row>
    <row r="11" spans="1:41" x14ac:dyDescent="0.25">
      <c r="A11" s="2">
        <v>45291</v>
      </c>
      <c r="B11" s="14">
        <v>0</v>
      </c>
      <c r="C11" s="14">
        <v>0</v>
      </c>
      <c r="D11" s="14">
        <v>375</v>
      </c>
      <c r="E11" s="14">
        <f t="shared" si="8"/>
        <v>0</v>
      </c>
      <c r="G11" s="2">
        <v>45291</v>
      </c>
      <c r="H11" s="16">
        <v>104.75183250000001</v>
      </c>
      <c r="I11" s="6">
        <f t="shared" si="17"/>
        <v>0.14999999999999991</v>
      </c>
      <c r="K11" s="2">
        <v>45291</v>
      </c>
      <c r="L11" s="14">
        <f t="shared" si="9"/>
        <v>0</v>
      </c>
      <c r="M11" s="14">
        <f t="shared" si="9"/>
        <v>0</v>
      </c>
      <c r="N11" s="14">
        <f t="shared" si="18"/>
        <v>316.54733249999998</v>
      </c>
      <c r="O11" s="14">
        <f t="shared" si="10"/>
        <v>0</v>
      </c>
      <c r="Q11" s="2">
        <v>45291</v>
      </c>
      <c r="R11" s="14">
        <f t="shared" si="0"/>
        <v>0</v>
      </c>
      <c r="S11" s="14">
        <f t="shared" si="1"/>
        <v>0</v>
      </c>
      <c r="T11" s="14"/>
      <c r="U11" s="14">
        <f t="shared" si="11"/>
        <v>0</v>
      </c>
      <c r="W11" s="14">
        <f t="shared" si="2"/>
        <v>0</v>
      </c>
      <c r="X11" s="14">
        <f t="shared" si="3"/>
        <v>0</v>
      </c>
      <c r="Z11" s="2">
        <v>45291</v>
      </c>
      <c r="AA11" s="14">
        <f t="shared" si="4"/>
        <v>0</v>
      </c>
      <c r="AB11" s="14">
        <f t="shared" si="12"/>
        <v>0</v>
      </c>
      <c r="AC11" s="14">
        <f t="shared" si="13"/>
        <v>340.12014750000003</v>
      </c>
      <c r="AD11" s="14">
        <f t="shared" si="14"/>
        <v>0</v>
      </c>
      <c r="AF11" s="2">
        <v>45291</v>
      </c>
      <c r="AG11" s="14">
        <f t="shared" si="5"/>
        <v>0</v>
      </c>
      <c r="AH11" s="14">
        <f t="shared" si="6"/>
        <v>0</v>
      </c>
      <c r="AI11" s="14"/>
      <c r="AK11" s="2">
        <v>45291</v>
      </c>
      <c r="AL11" s="14">
        <f t="shared" si="15"/>
        <v>0</v>
      </c>
      <c r="AM11" s="14">
        <f t="shared" si="7"/>
        <v>0</v>
      </c>
      <c r="AN11" s="14"/>
      <c r="AO11" s="14">
        <f t="shared" si="16"/>
        <v>0</v>
      </c>
    </row>
    <row r="12" spans="1:41" x14ac:dyDescent="0.25">
      <c r="A12" s="2">
        <v>45657</v>
      </c>
      <c r="B12" s="14">
        <v>0</v>
      </c>
      <c r="C12" s="14">
        <v>0</v>
      </c>
      <c r="D12" s="14">
        <v>400</v>
      </c>
      <c r="E12" s="14">
        <f t="shared" si="8"/>
        <v>0</v>
      </c>
      <c r="G12" s="2">
        <v>45657</v>
      </c>
      <c r="H12" s="16">
        <v>130.939790625</v>
      </c>
      <c r="I12" s="6">
        <f t="shared" si="17"/>
        <v>0.25</v>
      </c>
      <c r="K12" s="2">
        <v>45657</v>
      </c>
      <c r="L12" s="14">
        <f t="shared" si="9"/>
        <v>0</v>
      </c>
      <c r="M12" s="14">
        <f t="shared" si="9"/>
        <v>0</v>
      </c>
      <c r="N12" s="14">
        <f t="shared" si="18"/>
        <v>395.68416562499999</v>
      </c>
      <c r="O12" s="14">
        <f t="shared" si="10"/>
        <v>0</v>
      </c>
      <c r="Q12" s="2">
        <v>45657</v>
      </c>
      <c r="R12" s="14">
        <f t="shared" si="0"/>
        <v>0</v>
      </c>
      <c r="S12" s="14">
        <f t="shared" si="1"/>
        <v>0</v>
      </c>
      <c r="T12" s="14"/>
      <c r="U12" s="14">
        <f t="shared" si="11"/>
        <v>0</v>
      </c>
      <c r="W12" s="14">
        <f t="shared" si="2"/>
        <v>0</v>
      </c>
      <c r="X12" s="14">
        <f t="shared" si="3"/>
        <v>0</v>
      </c>
      <c r="Z12" s="2">
        <v>45657</v>
      </c>
      <c r="AA12" s="14">
        <f t="shared" si="4"/>
        <v>0</v>
      </c>
      <c r="AB12" s="14">
        <f t="shared" si="12"/>
        <v>0</v>
      </c>
      <c r="AC12" s="14">
        <f t="shared" si="13"/>
        <v>425.15018437500004</v>
      </c>
      <c r="AD12" s="14">
        <f t="shared" si="14"/>
        <v>0</v>
      </c>
      <c r="AF12" s="2">
        <v>45657</v>
      </c>
      <c r="AG12" s="14">
        <f t="shared" si="5"/>
        <v>0</v>
      </c>
      <c r="AH12" s="14">
        <f t="shared" si="6"/>
        <v>0</v>
      </c>
      <c r="AI12" s="14"/>
      <c r="AK12" s="2">
        <v>45657</v>
      </c>
      <c r="AL12" s="14">
        <f t="shared" si="15"/>
        <v>0</v>
      </c>
      <c r="AM12" s="14">
        <f t="shared" si="7"/>
        <v>0</v>
      </c>
      <c r="AN12" s="14"/>
      <c r="AO12" s="14">
        <f t="shared" si="16"/>
        <v>0</v>
      </c>
    </row>
    <row r="13" spans="1:41" x14ac:dyDescent="0.25">
      <c r="A13" s="2">
        <v>46022</v>
      </c>
      <c r="B13" s="14">
        <v>0</v>
      </c>
      <c r="C13" s="14">
        <v>200</v>
      </c>
      <c r="D13" s="14">
        <v>325</v>
      </c>
      <c r="E13" s="14">
        <f t="shared" si="8"/>
        <v>200</v>
      </c>
      <c r="G13" s="2">
        <v>46022</v>
      </c>
      <c r="H13" s="16">
        <v>163.67473828125</v>
      </c>
      <c r="I13" s="6">
        <f t="shared" ref="I13" si="19">H13/H12-1</f>
        <v>0.25</v>
      </c>
      <c r="K13" s="2">
        <v>46022</v>
      </c>
      <c r="L13" s="14">
        <f t="shared" si="9"/>
        <v>0</v>
      </c>
      <c r="M13" s="14">
        <f t="shared" si="9"/>
        <v>200</v>
      </c>
      <c r="N13" s="14">
        <f t="shared" si="18"/>
        <v>294.60520703124996</v>
      </c>
      <c r="O13" s="14">
        <f t="shared" si="10"/>
        <v>200</v>
      </c>
      <c r="Q13" s="2">
        <v>46022</v>
      </c>
      <c r="R13" s="14">
        <f t="shared" si="0"/>
        <v>0</v>
      </c>
      <c r="S13" s="14">
        <f t="shared" si="1"/>
        <v>184.35966432160808</v>
      </c>
      <c r="T13" s="14"/>
      <c r="U13" s="14">
        <f t="shared" si="11"/>
        <v>184.35966432160808</v>
      </c>
      <c r="W13" s="14">
        <f t="shared" si="2"/>
        <v>0</v>
      </c>
      <c r="X13" s="14">
        <f t="shared" si="3"/>
        <v>200</v>
      </c>
      <c r="Z13" s="2">
        <v>46022</v>
      </c>
      <c r="AA13" s="14">
        <f t="shared" si="4"/>
        <v>0</v>
      </c>
      <c r="AB13" s="14">
        <f t="shared" si="12"/>
        <v>202.45246875000001</v>
      </c>
      <c r="AC13" s="14">
        <f t="shared" si="13"/>
        <v>328.98526171875005</v>
      </c>
      <c r="AD13" s="14">
        <f t="shared" ref="AD13" si="20">SUM(AA13:AB13)</f>
        <v>202.45246875000001</v>
      </c>
      <c r="AF13" s="2">
        <v>46022</v>
      </c>
      <c r="AG13" s="14">
        <f t="shared" si="5"/>
        <v>0</v>
      </c>
      <c r="AH13" s="14">
        <f t="shared" si="6"/>
        <v>200</v>
      </c>
      <c r="AI13" s="14"/>
      <c r="AK13" s="2">
        <v>46022</v>
      </c>
      <c r="AL13" s="14">
        <f t="shared" ref="AL13" si="21">AG13</f>
        <v>0</v>
      </c>
      <c r="AM13" s="14">
        <f t="shared" si="7"/>
        <v>200</v>
      </c>
      <c r="AN13" s="14"/>
      <c r="AO13" s="14">
        <f t="shared" ref="AO13" si="22">-AL13+AM13</f>
        <v>200</v>
      </c>
    </row>
    <row r="14" spans="1:41" ht="14.25" customHeight="1" x14ac:dyDescent="0.25">
      <c r="A14" s="2">
        <v>46022</v>
      </c>
      <c r="B14" s="5">
        <v>0</v>
      </c>
      <c r="C14" s="5">
        <v>0</v>
      </c>
      <c r="D14" s="14">
        <v>325</v>
      </c>
      <c r="E14" s="14">
        <f>B14+C14+D14</f>
        <v>325</v>
      </c>
      <c r="G14" s="2">
        <v>46022</v>
      </c>
      <c r="H14" s="16">
        <v>163.67473828125</v>
      </c>
      <c r="I14" s="6">
        <f>H14/H12-1</f>
        <v>0.25</v>
      </c>
      <c r="K14" s="2">
        <v>46022</v>
      </c>
      <c r="L14" s="5">
        <f t="shared" si="9"/>
        <v>0</v>
      </c>
      <c r="M14" s="5">
        <f t="shared" si="9"/>
        <v>0</v>
      </c>
      <c r="N14" s="36">
        <f>(N13*(H14/H13))-L14-M14</f>
        <v>294.60520703124996</v>
      </c>
      <c r="O14" s="36">
        <f>SUM(L14:N14)</f>
        <v>294.60520703124996</v>
      </c>
      <c r="Q14" s="2">
        <v>46022</v>
      </c>
      <c r="R14" s="5">
        <f t="shared" si="0"/>
        <v>0</v>
      </c>
      <c r="S14" s="5">
        <f t="shared" si="1"/>
        <v>0</v>
      </c>
      <c r="T14" s="14">
        <f>D14</f>
        <v>325</v>
      </c>
      <c r="U14" s="14">
        <f>SUM(R14:T14)</f>
        <v>325</v>
      </c>
      <c r="W14" s="5">
        <f t="shared" si="2"/>
        <v>0</v>
      </c>
      <c r="X14" s="5">
        <f t="shared" si="3"/>
        <v>0</v>
      </c>
      <c r="Z14" s="2">
        <v>46022</v>
      </c>
      <c r="AA14" s="5">
        <f t="shared" si="4"/>
        <v>0</v>
      </c>
      <c r="AB14" s="5">
        <f t="shared" si="12"/>
        <v>0</v>
      </c>
      <c r="AC14" s="14">
        <f t="shared" si="13"/>
        <v>328.98526171875005</v>
      </c>
      <c r="AD14" s="14">
        <f>SUM(AA14:AC14)</f>
        <v>328.98526171875005</v>
      </c>
      <c r="AF14" s="2">
        <v>46022</v>
      </c>
      <c r="AG14" s="5">
        <f t="shared" si="5"/>
        <v>0</v>
      </c>
      <c r="AH14" s="5">
        <f t="shared" si="6"/>
        <v>0</v>
      </c>
      <c r="AI14" s="14">
        <f>D14</f>
        <v>325</v>
      </c>
      <c r="AK14" s="2">
        <v>46022</v>
      </c>
      <c r="AL14" s="5">
        <f t="shared" si="15"/>
        <v>0</v>
      </c>
      <c r="AM14" s="5">
        <f t="shared" si="7"/>
        <v>0</v>
      </c>
      <c r="AN14" s="14">
        <f>D14</f>
        <v>325</v>
      </c>
      <c r="AO14" s="14">
        <f>-AL14+AM14+AN14</f>
        <v>325</v>
      </c>
    </row>
    <row r="15" spans="1:41" x14ac:dyDescent="0.25">
      <c r="A15" s="2"/>
      <c r="B15" s="14">
        <f>SUM(B4:B14)</f>
        <v>-400</v>
      </c>
      <c r="C15" s="14">
        <f>SUM(C4:C14)</f>
        <v>300</v>
      </c>
      <c r="L15" s="14">
        <f>SUM(L4:L14)</f>
        <v>-400</v>
      </c>
      <c r="M15" s="14">
        <f>SUM(M4:M14)</f>
        <v>300</v>
      </c>
      <c r="R15" s="14">
        <f>SUM(R4:R14)</f>
        <v>-400</v>
      </c>
      <c r="S15" s="14">
        <f>SUM(S4:S14)</f>
        <v>276.53949648241212</v>
      </c>
      <c r="W15" s="14">
        <f>SUM(W4:W14)</f>
        <v>-683.27708203125007</v>
      </c>
      <c r="X15" s="14">
        <f>SUM(X4:X14)</f>
        <v>388.671875</v>
      </c>
      <c r="AA15" s="14">
        <f>SUM(AA4:AA14)</f>
        <v>-400</v>
      </c>
      <c r="AB15" s="14">
        <f>SUM(AB4:AB14)</f>
        <v>282.93046874999999</v>
      </c>
      <c r="AG15" s="14">
        <f>SUM(AG4:AG14)</f>
        <v>683.27708203125007</v>
      </c>
      <c r="AH15" s="14">
        <f>SUM(AH4:AH14)</f>
        <v>388.671875</v>
      </c>
      <c r="AL15" s="14">
        <f>SUM(AL4:AL14)</f>
        <v>683.27708203125007</v>
      </c>
      <c r="AM15" s="14">
        <f>SUM(AM4:AM14)</f>
        <v>388.671875</v>
      </c>
    </row>
    <row r="16" spans="1:41" x14ac:dyDescent="0.25">
      <c r="A16" s="2"/>
    </row>
    <row r="17" spans="1:41" ht="60" x14ac:dyDescent="0.25">
      <c r="A17" s="2" t="s">
        <v>20</v>
      </c>
      <c r="B17" s="6">
        <f>XIRR(E4:E14,A4:A14)</f>
        <v>6.7674019932746896E-2</v>
      </c>
      <c r="G17" s="13" t="s">
        <v>89</v>
      </c>
      <c r="H17" s="8">
        <f>RATE(9,,-H4,H14)</f>
        <v>5.6271931756050199E-2</v>
      </c>
      <c r="K17" t="s">
        <v>21</v>
      </c>
      <c r="L17" s="6">
        <f>XIRR(O4:O14,K4:K14)</f>
        <v>6.0161814093589783E-2</v>
      </c>
      <c r="Q17" t="s">
        <v>22</v>
      </c>
      <c r="R17" s="6">
        <f>XIRR(U4:U14,Q4:Q14)</f>
        <v>6.1380657553672779E-2</v>
      </c>
      <c r="W17" t="s">
        <v>23</v>
      </c>
      <c r="X17" s="17">
        <f>(-W15-T14)/X15</f>
        <v>0.92179832160804043</v>
      </c>
      <c r="Z17" t="s">
        <v>24</v>
      </c>
      <c r="AA17" s="6">
        <f>XIRR(AD4:AD14,Z4:Z14)</f>
        <v>6.3145080208778376E-2</v>
      </c>
      <c r="AF17" t="s">
        <v>5</v>
      </c>
      <c r="AG17" s="11">
        <f>(AH15+AI14)/AG15</f>
        <v>1.0444838466971438</v>
      </c>
      <c r="AK17" t="s">
        <v>6</v>
      </c>
      <c r="AL17" s="6">
        <f>XIRR(AO4:AO14,AK4:AK14)</f>
        <v>6.804165244102477E-3</v>
      </c>
    </row>
    <row r="18" spans="1:41" x14ac:dyDescent="0.25">
      <c r="A18" t="s">
        <v>25</v>
      </c>
      <c r="B18" s="3">
        <f>(D14+C15)/-B15</f>
        <v>1.5625</v>
      </c>
      <c r="K18" s="15" t="s">
        <v>26</v>
      </c>
      <c r="L18" s="8">
        <f>B17-L17</f>
        <v>7.5122058391571128E-3</v>
      </c>
      <c r="Q18" s="15" t="s">
        <v>26</v>
      </c>
      <c r="R18" s="8">
        <f>B17-R17</f>
        <v>6.2933623790741161E-3</v>
      </c>
      <c r="Z18" s="15" t="s">
        <v>26</v>
      </c>
      <c r="AA18" s="8">
        <f>B17-AA17</f>
        <v>4.5289397239685197E-3</v>
      </c>
    </row>
    <row r="19" spans="1:41" x14ac:dyDescent="0.25">
      <c r="D19" s="6"/>
      <c r="Q19" t="s">
        <v>23</v>
      </c>
      <c r="R19" s="11">
        <f>X17</f>
        <v>0.92179832160804043</v>
      </c>
      <c r="AA19" s="11"/>
    </row>
    <row r="20" spans="1:41" x14ac:dyDescent="0.25">
      <c r="D20" s="6"/>
    </row>
    <row r="21" spans="1:41" x14ac:dyDescent="0.25">
      <c r="D21" s="6"/>
    </row>
    <row r="22" spans="1:41" x14ac:dyDescent="0.25">
      <c r="A22" s="18" t="s">
        <v>29</v>
      </c>
    </row>
    <row r="23" spans="1:41" x14ac:dyDescent="0.25">
      <c r="A23" s="70" t="s">
        <v>0</v>
      </c>
      <c r="B23" s="70"/>
      <c r="C23" s="70"/>
      <c r="D23" s="70"/>
      <c r="E23" s="70"/>
      <c r="G23" s="70" t="s">
        <v>80</v>
      </c>
      <c r="H23" s="70"/>
      <c r="I23" s="70"/>
      <c r="K23" s="70" t="s">
        <v>1</v>
      </c>
      <c r="L23" s="70"/>
      <c r="M23" s="70"/>
      <c r="N23" s="70"/>
      <c r="O23" s="70"/>
      <c r="Q23" s="70" t="s">
        <v>2</v>
      </c>
      <c r="R23" s="70"/>
      <c r="S23" s="70"/>
      <c r="T23" s="70"/>
      <c r="U23" s="70"/>
      <c r="W23" s="70" t="s">
        <v>3</v>
      </c>
      <c r="X23" s="70"/>
      <c r="Z23" s="70" t="s">
        <v>4</v>
      </c>
      <c r="AA23" s="70"/>
      <c r="AB23" s="70"/>
      <c r="AC23" s="70"/>
      <c r="AD23" s="70"/>
      <c r="AF23" s="70" t="s">
        <v>5</v>
      </c>
      <c r="AG23" s="70"/>
      <c r="AH23" s="70"/>
      <c r="AI23" s="70"/>
      <c r="AK23" s="70" t="s">
        <v>6</v>
      </c>
      <c r="AL23" s="70"/>
      <c r="AM23" s="70"/>
      <c r="AN23" s="70"/>
      <c r="AO23" s="70"/>
    </row>
    <row r="24" spans="1:41" x14ac:dyDescent="0.25">
      <c r="A24" s="1" t="s">
        <v>7</v>
      </c>
      <c r="B24" s="1" t="s">
        <v>8</v>
      </c>
      <c r="C24" s="1" t="s">
        <v>27</v>
      </c>
      <c r="D24" s="1" t="s">
        <v>9</v>
      </c>
      <c r="E24" s="1" t="s">
        <v>10</v>
      </c>
      <c r="G24" s="1" t="s">
        <v>7</v>
      </c>
      <c r="H24" s="1" t="s">
        <v>11</v>
      </c>
      <c r="I24" s="1" t="s">
        <v>12</v>
      </c>
      <c r="K24" s="1" t="s">
        <v>7</v>
      </c>
      <c r="L24" s="1" t="s">
        <v>8</v>
      </c>
      <c r="M24" s="1" t="s">
        <v>27</v>
      </c>
      <c r="N24" s="1" t="s">
        <v>13</v>
      </c>
      <c r="O24" s="1" t="s">
        <v>10</v>
      </c>
      <c r="Q24" s="1" t="s">
        <v>7</v>
      </c>
      <c r="R24" s="1" t="s">
        <v>8</v>
      </c>
      <c r="S24" s="1" t="s">
        <v>14</v>
      </c>
      <c r="T24" s="1" t="s">
        <v>9</v>
      </c>
      <c r="U24" s="1" t="s">
        <v>10</v>
      </c>
      <c r="W24" s="1" t="s">
        <v>15</v>
      </c>
      <c r="X24" s="1" t="s">
        <v>16</v>
      </c>
      <c r="Z24" s="1" t="s">
        <v>7</v>
      </c>
      <c r="AA24" s="1" t="s">
        <v>8</v>
      </c>
      <c r="AB24" s="1" t="s">
        <v>17</v>
      </c>
      <c r="AC24" s="1" t="s">
        <v>18</v>
      </c>
      <c r="AD24" s="1" t="s">
        <v>10</v>
      </c>
      <c r="AF24" s="1" t="s">
        <v>7</v>
      </c>
      <c r="AG24" s="1" t="s">
        <v>15</v>
      </c>
      <c r="AH24" s="1" t="s">
        <v>16</v>
      </c>
      <c r="AI24" s="1" t="s">
        <v>9</v>
      </c>
      <c r="AK24" s="1" t="s">
        <v>7</v>
      </c>
      <c r="AL24" s="1" t="s">
        <v>15</v>
      </c>
      <c r="AM24" s="1" t="s">
        <v>16</v>
      </c>
      <c r="AN24" s="1" t="s">
        <v>9</v>
      </c>
      <c r="AO24" s="1" t="s">
        <v>19</v>
      </c>
    </row>
    <row r="25" spans="1:41" x14ac:dyDescent="0.25">
      <c r="A25" s="2">
        <v>42735</v>
      </c>
      <c r="B25" s="14">
        <v>-100</v>
      </c>
      <c r="C25" s="14">
        <v>0</v>
      </c>
      <c r="D25" s="14">
        <v>100</v>
      </c>
      <c r="E25" s="14">
        <f>B25+C25</f>
        <v>-100</v>
      </c>
      <c r="G25" s="2">
        <v>42735</v>
      </c>
      <c r="H25" s="16">
        <v>100</v>
      </c>
      <c r="K25" s="2">
        <v>42735</v>
      </c>
      <c r="L25" s="14">
        <f>B25</f>
        <v>-100</v>
      </c>
      <c r="M25" s="14">
        <f>C25</f>
        <v>0</v>
      </c>
      <c r="N25" s="14">
        <f>H25/100*(-L25+M25)</f>
        <v>100</v>
      </c>
      <c r="O25" s="14">
        <f>SUM(L25:M25)</f>
        <v>-100</v>
      </c>
      <c r="Q25" s="2">
        <v>42735</v>
      </c>
      <c r="R25" s="14">
        <f t="shared" ref="R25:R35" si="23">B25</f>
        <v>-100</v>
      </c>
      <c r="S25" s="14">
        <f t="shared" ref="S25:S35" si="24">C25*$X$38</f>
        <v>0</v>
      </c>
      <c r="T25" s="14"/>
      <c r="U25" s="14">
        <f>SUM(R25:S25)</f>
        <v>-100</v>
      </c>
      <c r="W25" s="14">
        <f>R25*($H$35/$H25)</f>
        <v>-163.67473828125</v>
      </c>
      <c r="X25" s="14">
        <f t="shared" ref="X25:X35" si="25">C25*($H$35/$H25)</f>
        <v>0</v>
      </c>
      <c r="Z25" s="2">
        <v>42735</v>
      </c>
      <c r="AA25" s="14">
        <f t="shared" ref="AA25:AA35" si="26">B25</f>
        <v>-100</v>
      </c>
      <c r="AB25" s="14">
        <v>0</v>
      </c>
      <c r="AC25" s="14">
        <v>100</v>
      </c>
      <c r="AD25" s="14">
        <f>SUM(AA25:AB25)</f>
        <v>-100</v>
      </c>
      <c r="AF25" s="2">
        <v>42735</v>
      </c>
      <c r="AG25" s="14">
        <f t="shared" ref="AG25:AG35" si="27">-B25*$H$14/H25</f>
        <v>163.67473828125</v>
      </c>
      <c r="AH25" s="14">
        <f t="shared" ref="AH25:AH35" si="28">C25*$H$14/H25</f>
        <v>0</v>
      </c>
      <c r="AK25" s="2">
        <v>42735</v>
      </c>
      <c r="AL25" s="14">
        <f>-B25*$H$14/H25</f>
        <v>163.67473828125</v>
      </c>
      <c r="AM25" s="14">
        <f t="shared" ref="AM25:AM35" si="29">C25*$H$14/H25</f>
        <v>0</v>
      </c>
      <c r="AN25" s="14"/>
      <c r="AO25" s="14">
        <f>-AL25+AM25</f>
        <v>-163.67473828125</v>
      </c>
    </row>
    <row r="26" spans="1:41" x14ac:dyDescent="0.25">
      <c r="A26" s="2">
        <v>43100</v>
      </c>
      <c r="B26" s="14">
        <v>0</v>
      </c>
      <c r="C26" s="14">
        <v>0</v>
      </c>
      <c r="D26" s="14">
        <v>110</v>
      </c>
      <c r="E26" s="14">
        <f t="shared" ref="E26:E34" si="30">B26+C26</f>
        <v>0</v>
      </c>
      <c r="G26" s="2">
        <v>43100</v>
      </c>
      <c r="H26" s="16">
        <v>105</v>
      </c>
      <c r="I26" s="6">
        <f>H26/H25-1</f>
        <v>5.0000000000000044E-2</v>
      </c>
      <c r="K26" s="2">
        <v>43100</v>
      </c>
      <c r="L26" s="14">
        <f t="shared" ref="L26:M35" si="31">B26</f>
        <v>0</v>
      </c>
      <c r="M26" s="14">
        <f t="shared" si="31"/>
        <v>0</v>
      </c>
      <c r="N26" s="14">
        <f>(N25*(H26/H25))-L26-M26</f>
        <v>105</v>
      </c>
      <c r="O26" s="14">
        <f t="shared" ref="O26:O34" si="32">SUM(L26:M26)</f>
        <v>0</v>
      </c>
      <c r="Q26" s="2">
        <v>43100</v>
      </c>
      <c r="R26" s="14">
        <f t="shared" si="23"/>
        <v>0</v>
      </c>
      <c r="S26" s="14">
        <f t="shared" si="24"/>
        <v>0</v>
      </c>
      <c r="T26" s="14"/>
      <c r="U26" s="14">
        <f t="shared" ref="U26:U34" si="33">SUM(R26:S26)</f>
        <v>0</v>
      </c>
      <c r="W26" s="14">
        <f t="shared" ref="W26:W35" si="34">R26*($H$35/$H26)</f>
        <v>0</v>
      </c>
      <c r="X26" s="14">
        <f t="shared" si="25"/>
        <v>0</v>
      </c>
      <c r="Z26" s="2">
        <v>43100</v>
      </c>
      <c r="AA26" s="14">
        <f t="shared" si="26"/>
        <v>0</v>
      </c>
      <c r="AB26" s="14">
        <f t="shared" ref="AB26:AB35" si="35">(C26/(C26+D26))*((AC25*H26/H25)-B26)</f>
        <v>0</v>
      </c>
      <c r="AC26" s="14">
        <f t="shared" ref="AC26:AC35" si="36">(1-(C26/(C26+D26)))*((AC25*H26/H25)-B26)</f>
        <v>105</v>
      </c>
      <c r="AD26" s="14">
        <f t="shared" ref="AD26:AD34" si="37">SUM(AA26:AB26)</f>
        <v>0</v>
      </c>
      <c r="AF26" s="2">
        <v>43100</v>
      </c>
      <c r="AG26" s="14">
        <f t="shared" si="27"/>
        <v>0</v>
      </c>
      <c r="AH26" s="14">
        <f t="shared" si="28"/>
        <v>0</v>
      </c>
      <c r="AI26" s="14"/>
      <c r="AK26" s="2">
        <v>43100</v>
      </c>
      <c r="AL26" s="14">
        <f t="shared" ref="AL26:AL35" si="38">AG26</f>
        <v>0</v>
      </c>
      <c r="AM26" s="14">
        <f t="shared" si="29"/>
        <v>0</v>
      </c>
      <c r="AN26" s="14"/>
      <c r="AO26" s="14">
        <f t="shared" ref="AO26:AO34" si="39">-AL26+AM26</f>
        <v>0</v>
      </c>
    </row>
    <row r="27" spans="1:41" x14ac:dyDescent="0.25">
      <c r="A27" s="2">
        <v>43465</v>
      </c>
      <c r="B27" s="14">
        <v>-300</v>
      </c>
      <c r="C27" s="14">
        <v>0</v>
      </c>
      <c r="D27" s="14">
        <v>435</v>
      </c>
      <c r="E27" s="14">
        <f t="shared" si="30"/>
        <v>-300</v>
      </c>
      <c r="G27" s="2">
        <v>43465</v>
      </c>
      <c r="H27" s="16">
        <v>94.5</v>
      </c>
      <c r="I27" s="6">
        <f t="shared" ref="I27:I33" si="40">H27/H26-1</f>
        <v>-9.9999999999999978E-2</v>
      </c>
      <c r="K27" s="2">
        <v>43465</v>
      </c>
      <c r="L27" s="14">
        <f t="shared" si="31"/>
        <v>-300</v>
      </c>
      <c r="M27" s="14">
        <f t="shared" si="31"/>
        <v>0</v>
      </c>
      <c r="N27" s="14">
        <f>(N26*(H27/H26))-L27-M27</f>
        <v>394.5</v>
      </c>
      <c r="O27" s="14">
        <f t="shared" si="32"/>
        <v>-300</v>
      </c>
      <c r="Q27" s="2">
        <v>43465</v>
      </c>
      <c r="R27" s="14">
        <f t="shared" si="23"/>
        <v>-300</v>
      </c>
      <c r="S27" s="14">
        <f t="shared" si="24"/>
        <v>0</v>
      </c>
      <c r="T27" s="14"/>
      <c r="U27" s="14">
        <f t="shared" si="33"/>
        <v>-300</v>
      </c>
      <c r="W27" s="14">
        <f t="shared" si="34"/>
        <v>-519.60234375000005</v>
      </c>
      <c r="X27" s="14">
        <f t="shared" si="25"/>
        <v>0</v>
      </c>
      <c r="Z27" s="2">
        <v>43465</v>
      </c>
      <c r="AA27" s="14">
        <f t="shared" si="26"/>
        <v>-300</v>
      </c>
      <c r="AB27" s="14">
        <f t="shared" si="35"/>
        <v>0</v>
      </c>
      <c r="AC27" s="14">
        <f t="shared" si="36"/>
        <v>394.5</v>
      </c>
      <c r="AD27" s="14">
        <f t="shared" si="37"/>
        <v>-300</v>
      </c>
      <c r="AF27" s="2">
        <v>43465</v>
      </c>
      <c r="AG27" s="14">
        <f t="shared" si="27"/>
        <v>519.60234375000005</v>
      </c>
      <c r="AH27" s="14">
        <f t="shared" si="28"/>
        <v>0</v>
      </c>
      <c r="AI27" s="14"/>
      <c r="AK27" s="2">
        <v>43465</v>
      </c>
      <c r="AL27" s="14">
        <f t="shared" si="38"/>
        <v>519.60234375000005</v>
      </c>
      <c r="AM27" s="14">
        <f t="shared" si="29"/>
        <v>0</v>
      </c>
      <c r="AN27" s="14"/>
      <c r="AO27" s="14">
        <f t="shared" si="39"/>
        <v>-519.60234375000005</v>
      </c>
    </row>
    <row r="28" spans="1:41" x14ac:dyDescent="0.25">
      <c r="A28" s="2">
        <v>43830</v>
      </c>
      <c r="B28" s="14">
        <v>0</v>
      </c>
      <c r="C28" s="14">
        <v>0</v>
      </c>
      <c r="D28" s="14">
        <v>390</v>
      </c>
      <c r="E28" s="14">
        <f t="shared" si="30"/>
        <v>0</v>
      </c>
      <c r="G28" s="2">
        <v>43830</v>
      </c>
      <c r="H28" s="16">
        <v>80.325000000000003</v>
      </c>
      <c r="I28" s="6">
        <f t="shared" si="40"/>
        <v>-0.15000000000000002</v>
      </c>
      <c r="K28" s="2">
        <v>43830</v>
      </c>
      <c r="L28" s="14">
        <f t="shared" si="31"/>
        <v>0</v>
      </c>
      <c r="M28" s="14">
        <f t="shared" si="31"/>
        <v>0</v>
      </c>
      <c r="N28" s="14">
        <f t="shared" ref="N28:N34" si="41">(N27*(H28/H27))-L28-M28</f>
        <v>335.32499999999999</v>
      </c>
      <c r="O28" s="14">
        <f t="shared" si="32"/>
        <v>0</v>
      </c>
      <c r="Q28" s="2">
        <v>43830</v>
      </c>
      <c r="R28" s="14">
        <f t="shared" si="23"/>
        <v>0</v>
      </c>
      <c r="S28" s="14">
        <f t="shared" si="24"/>
        <v>0</v>
      </c>
      <c r="T28" s="14"/>
      <c r="U28" s="14">
        <f t="shared" si="33"/>
        <v>0</v>
      </c>
      <c r="W28" s="14">
        <f t="shared" si="34"/>
        <v>0</v>
      </c>
      <c r="X28" s="14">
        <f t="shared" si="25"/>
        <v>0</v>
      </c>
      <c r="Z28" s="2">
        <v>43830</v>
      </c>
      <c r="AA28" s="14">
        <f t="shared" si="26"/>
        <v>0</v>
      </c>
      <c r="AB28" s="14">
        <f t="shared" si="35"/>
        <v>0</v>
      </c>
      <c r="AC28" s="14">
        <f t="shared" si="36"/>
        <v>335.32499999999999</v>
      </c>
      <c r="AD28" s="14">
        <f t="shared" si="37"/>
        <v>0</v>
      </c>
      <c r="AF28" s="2">
        <v>43830</v>
      </c>
      <c r="AG28" s="14">
        <f t="shared" si="27"/>
        <v>0</v>
      </c>
      <c r="AH28" s="14">
        <f t="shared" si="28"/>
        <v>0</v>
      </c>
      <c r="AI28" s="14"/>
      <c r="AK28" s="2">
        <v>43830</v>
      </c>
      <c r="AL28" s="14">
        <f t="shared" si="38"/>
        <v>0</v>
      </c>
      <c r="AM28" s="14">
        <f t="shared" si="29"/>
        <v>0</v>
      </c>
      <c r="AN28" s="14"/>
      <c r="AO28" s="14">
        <f t="shared" si="39"/>
        <v>0</v>
      </c>
    </row>
    <row r="29" spans="1:41" x14ac:dyDescent="0.25">
      <c r="A29" s="2">
        <v>44196</v>
      </c>
      <c r="B29" s="14">
        <v>0</v>
      </c>
      <c r="C29" s="14">
        <v>0</v>
      </c>
      <c r="D29" s="14">
        <v>495</v>
      </c>
      <c r="E29" s="14">
        <f t="shared" si="30"/>
        <v>0</v>
      </c>
      <c r="G29" s="2">
        <v>44196</v>
      </c>
      <c r="H29" s="16">
        <v>96.39</v>
      </c>
      <c r="I29" s="6">
        <f t="shared" si="40"/>
        <v>0.19999999999999996</v>
      </c>
      <c r="K29" s="2">
        <v>44196</v>
      </c>
      <c r="L29" s="14">
        <f t="shared" si="31"/>
        <v>0</v>
      </c>
      <c r="M29" s="14">
        <f t="shared" si="31"/>
        <v>0</v>
      </c>
      <c r="N29" s="14">
        <f t="shared" si="41"/>
        <v>402.39</v>
      </c>
      <c r="O29" s="14">
        <f t="shared" si="32"/>
        <v>0</v>
      </c>
      <c r="Q29" s="2">
        <v>44196</v>
      </c>
      <c r="R29" s="14">
        <f t="shared" si="23"/>
        <v>0</v>
      </c>
      <c r="S29" s="14">
        <f t="shared" si="24"/>
        <v>0</v>
      </c>
      <c r="T29" s="14"/>
      <c r="U29" s="14">
        <f t="shared" si="33"/>
        <v>0</v>
      </c>
      <c r="W29" s="14">
        <f t="shared" si="34"/>
        <v>0</v>
      </c>
      <c r="X29" s="14">
        <f t="shared" si="25"/>
        <v>0</v>
      </c>
      <c r="Z29" s="2">
        <v>44196</v>
      </c>
      <c r="AA29" s="14">
        <f t="shared" si="26"/>
        <v>0</v>
      </c>
      <c r="AB29" s="14">
        <f t="shared" si="35"/>
        <v>0</v>
      </c>
      <c r="AC29" s="14">
        <f t="shared" si="36"/>
        <v>402.39</v>
      </c>
      <c r="AD29" s="14">
        <f t="shared" si="37"/>
        <v>0</v>
      </c>
      <c r="AF29" s="2">
        <v>44196</v>
      </c>
      <c r="AG29" s="14">
        <f t="shared" si="27"/>
        <v>0</v>
      </c>
      <c r="AH29" s="14">
        <f t="shared" si="28"/>
        <v>0</v>
      </c>
      <c r="AI29" s="14"/>
      <c r="AK29" s="2">
        <v>44196</v>
      </c>
      <c r="AL29" s="14">
        <f t="shared" si="38"/>
        <v>0</v>
      </c>
      <c r="AM29" s="14">
        <f t="shared" si="29"/>
        <v>0</v>
      </c>
      <c r="AN29" s="14"/>
      <c r="AO29" s="14">
        <f t="shared" si="39"/>
        <v>0</v>
      </c>
    </row>
    <row r="30" spans="1:41" x14ac:dyDescent="0.25">
      <c r="A30" s="2">
        <v>44561</v>
      </c>
      <c r="B30" s="14">
        <v>0</v>
      </c>
      <c r="C30" s="14">
        <v>405</v>
      </c>
      <c r="D30" s="14">
        <v>80</v>
      </c>
      <c r="E30" s="14">
        <f t="shared" si="30"/>
        <v>405</v>
      </c>
      <c r="G30" s="2">
        <v>44561</v>
      </c>
      <c r="H30" s="16">
        <v>86.751000000000005</v>
      </c>
      <c r="I30" s="6">
        <f t="shared" si="40"/>
        <v>-9.9999999999999978E-2</v>
      </c>
      <c r="K30" s="2">
        <v>44561</v>
      </c>
      <c r="L30" s="14">
        <f t="shared" si="31"/>
        <v>0</v>
      </c>
      <c r="M30" s="14">
        <f t="shared" si="31"/>
        <v>405</v>
      </c>
      <c r="N30" s="14">
        <f t="shared" si="41"/>
        <v>-42.84899999999999</v>
      </c>
      <c r="O30" s="14">
        <f t="shared" si="32"/>
        <v>405</v>
      </c>
      <c r="Q30" s="2">
        <v>44561</v>
      </c>
      <c r="R30" s="14">
        <f t="shared" si="23"/>
        <v>0</v>
      </c>
      <c r="S30" s="14">
        <f t="shared" si="24"/>
        <v>280.72429902963762</v>
      </c>
      <c r="T30" s="14"/>
      <c r="U30" s="14">
        <f t="shared" si="33"/>
        <v>280.72429902963762</v>
      </c>
      <c r="W30" s="14">
        <f t="shared" si="34"/>
        <v>0</v>
      </c>
      <c r="X30" s="14">
        <f t="shared" si="25"/>
        <v>764.12109375</v>
      </c>
      <c r="Z30" s="2">
        <v>44561</v>
      </c>
      <c r="AA30" s="14">
        <f t="shared" si="26"/>
        <v>0</v>
      </c>
      <c r="AB30" s="14">
        <f t="shared" si="35"/>
        <v>302.41475257731963</v>
      </c>
      <c r="AC30" s="14">
        <f t="shared" si="36"/>
        <v>59.7362474226804</v>
      </c>
      <c r="AD30" s="14">
        <f t="shared" si="37"/>
        <v>302.41475257731963</v>
      </c>
      <c r="AF30" s="2">
        <v>44561</v>
      </c>
      <c r="AG30" s="14">
        <f t="shared" si="27"/>
        <v>0</v>
      </c>
      <c r="AH30" s="14">
        <f t="shared" si="28"/>
        <v>764.12109374999989</v>
      </c>
      <c r="AI30" s="14"/>
      <c r="AK30" s="2">
        <v>44561</v>
      </c>
      <c r="AL30" s="14">
        <f t="shared" si="38"/>
        <v>0</v>
      </c>
      <c r="AM30" s="14">
        <f t="shared" si="29"/>
        <v>764.12109374999989</v>
      </c>
      <c r="AN30" s="14"/>
      <c r="AO30" s="14">
        <f t="shared" si="39"/>
        <v>764.12109374999989</v>
      </c>
    </row>
    <row r="31" spans="1:41" x14ac:dyDescent="0.25">
      <c r="A31" s="2">
        <v>44926</v>
      </c>
      <c r="B31" s="14">
        <v>0</v>
      </c>
      <c r="C31" s="14">
        <v>0</v>
      </c>
      <c r="D31" s="14">
        <v>90</v>
      </c>
      <c r="E31" s="14">
        <f t="shared" si="30"/>
        <v>0</v>
      </c>
      <c r="G31" s="2">
        <v>44926</v>
      </c>
      <c r="H31" s="16">
        <v>91.088550000000012</v>
      </c>
      <c r="I31" s="6">
        <f t="shared" si="40"/>
        <v>5.0000000000000044E-2</v>
      </c>
      <c r="K31" s="2">
        <v>44926</v>
      </c>
      <c r="L31" s="14">
        <f t="shared" si="31"/>
        <v>0</v>
      </c>
      <c r="M31" s="14">
        <f t="shared" si="31"/>
        <v>0</v>
      </c>
      <c r="N31" s="14">
        <f t="shared" si="41"/>
        <v>-44.991449999999993</v>
      </c>
      <c r="O31" s="14">
        <f t="shared" si="32"/>
        <v>0</v>
      </c>
      <c r="Q31" s="2">
        <v>44926</v>
      </c>
      <c r="R31" s="14">
        <f t="shared" si="23"/>
        <v>0</v>
      </c>
      <c r="S31" s="14">
        <f t="shared" si="24"/>
        <v>0</v>
      </c>
      <c r="T31" s="14"/>
      <c r="U31" s="14">
        <f t="shared" si="33"/>
        <v>0</v>
      </c>
      <c r="W31" s="14">
        <f t="shared" si="34"/>
        <v>0</v>
      </c>
      <c r="X31" s="14">
        <f t="shared" si="25"/>
        <v>0</v>
      </c>
      <c r="Z31" s="2">
        <v>44926</v>
      </c>
      <c r="AA31" s="14">
        <f t="shared" si="26"/>
        <v>0</v>
      </c>
      <c r="AB31" s="14">
        <f t="shared" si="35"/>
        <v>0</v>
      </c>
      <c r="AC31" s="14">
        <f t="shared" si="36"/>
        <v>62.723059793814421</v>
      </c>
      <c r="AD31" s="14">
        <f t="shared" si="37"/>
        <v>0</v>
      </c>
      <c r="AF31" s="2">
        <v>44926</v>
      </c>
      <c r="AG31" s="14">
        <f t="shared" si="27"/>
        <v>0</v>
      </c>
      <c r="AH31" s="14">
        <f t="shared" si="28"/>
        <v>0</v>
      </c>
      <c r="AI31" s="14"/>
      <c r="AK31" s="2">
        <v>44926</v>
      </c>
      <c r="AL31" s="14">
        <f t="shared" si="38"/>
        <v>0</v>
      </c>
      <c r="AM31" s="14">
        <f t="shared" si="29"/>
        <v>0</v>
      </c>
      <c r="AN31" s="14"/>
      <c r="AO31" s="14">
        <f t="shared" si="39"/>
        <v>0</v>
      </c>
    </row>
    <row r="32" spans="1:41" x14ac:dyDescent="0.25">
      <c r="A32" s="2">
        <v>45291</v>
      </c>
      <c r="B32" s="14">
        <v>0</v>
      </c>
      <c r="C32" s="14">
        <v>0</v>
      </c>
      <c r="D32" s="14">
        <v>115</v>
      </c>
      <c r="E32" s="14">
        <f t="shared" si="30"/>
        <v>0</v>
      </c>
      <c r="G32" s="2">
        <v>45291</v>
      </c>
      <c r="H32" s="16">
        <v>104.75183250000001</v>
      </c>
      <c r="I32" s="6">
        <f t="shared" si="40"/>
        <v>0.14999999999999991</v>
      </c>
      <c r="K32" s="2">
        <v>45291</v>
      </c>
      <c r="L32" s="14">
        <f t="shared" si="31"/>
        <v>0</v>
      </c>
      <c r="M32" s="14">
        <f t="shared" si="31"/>
        <v>0</v>
      </c>
      <c r="N32" s="14">
        <f t="shared" si="41"/>
        <v>-51.740167499999991</v>
      </c>
      <c r="O32" s="14">
        <f t="shared" si="32"/>
        <v>0</v>
      </c>
      <c r="Q32" s="2">
        <v>45291</v>
      </c>
      <c r="R32" s="14">
        <f t="shared" si="23"/>
        <v>0</v>
      </c>
      <c r="S32" s="14">
        <f t="shared" si="24"/>
        <v>0</v>
      </c>
      <c r="T32" s="14"/>
      <c r="U32" s="14">
        <f t="shared" si="33"/>
        <v>0</v>
      </c>
      <c r="W32" s="14">
        <f t="shared" si="34"/>
        <v>0</v>
      </c>
      <c r="X32" s="14">
        <f t="shared" si="25"/>
        <v>0</v>
      </c>
      <c r="Z32" s="2">
        <v>45291</v>
      </c>
      <c r="AA32" s="14">
        <f t="shared" si="26"/>
        <v>0</v>
      </c>
      <c r="AB32" s="14">
        <f t="shared" si="35"/>
        <v>0</v>
      </c>
      <c r="AC32" s="14">
        <f t="shared" si="36"/>
        <v>72.131518762886586</v>
      </c>
      <c r="AD32" s="14">
        <f t="shared" si="37"/>
        <v>0</v>
      </c>
      <c r="AF32" s="2">
        <v>45291</v>
      </c>
      <c r="AG32" s="14">
        <f t="shared" si="27"/>
        <v>0</v>
      </c>
      <c r="AH32" s="14">
        <f t="shared" si="28"/>
        <v>0</v>
      </c>
      <c r="AI32" s="14"/>
      <c r="AK32" s="2">
        <v>45291</v>
      </c>
      <c r="AL32" s="14">
        <f t="shared" si="38"/>
        <v>0</v>
      </c>
      <c r="AM32" s="14">
        <f t="shared" si="29"/>
        <v>0</v>
      </c>
      <c r="AN32" s="14"/>
      <c r="AO32" s="14">
        <f t="shared" si="39"/>
        <v>0</v>
      </c>
    </row>
    <row r="33" spans="1:41" x14ac:dyDescent="0.25">
      <c r="A33" s="2">
        <v>45657</v>
      </c>
      <c r="B33" s="14">
        <v>0</v>
      </c>
      <c r="C33" s="14">
        <v>0</v>
      </c>
      <c r="D33" s="14">
        <v>150</v>
      </c>
      <c r="E33" s="14">
        <f t="shared" si="30"/>
        <v>0</v>
      </c>
      <c r="G33" s="2">
        <v>45657</v>
      </c>
      <c r="H33" s="16">
        <v>130.939790625</v>
      </c>
      <c r="I33" s="6">
        <f t="shared" si="40"/>
        <v>0.25</v>
      </c>
      <c r="K33" s="2">
        <v>45657</v>
      </c>
      <c r="L33" s="14">
        <f t="shared" si="31"/>
        <v>0</v>
      </c>
      <c r="M33" s="14">
        <f t="shared" si="31"/>
        <v>0</v>
      </c>
      <c r="N33" s="14">
        <f t="shared" si="41"/>
        <v>-64.675209374999994</v>
      </c>
      <c r="O33" s="14">
        <f t="shared" si="32"/>
        <v>0</v>
      </c>
      <c r="Q33" s="2">
        <v>45657</v>
      </c>
      <c r="R33" s="14">
        <f t="shared" si="23"/>
        <v>0</v>
      </c>
      <c r="S33" s="14">
        <f t="shared" si="24"/>
        <v>0</v>
      </c>
      <c r="T33" s="14"/>
      <c r="U33" s="14">
        <f t="shared" si="33"/>
        <v>0</v>
      </c>
      <c r="W33" s="14">
        <f t="shared" si="34"/>
        <v>0</v>
      </c>
      <c r="X33" s="14">
        <f t="shared" si="25"/>
        <v>0</v>
      </c>
      <c r="Z33" s="2">
        <v>45657</v>
      </c>
      <c r="AA33" s="14">
        <f t="shared" si="26"/>
        <v>0</v>
      </c>
      <c r="AB33" s="14">
        <f t="shared" si="35"/>
        <v>0</v>
      </c>
      <c r="AC33" s="14">
        <f t="shared" si="36"/>
        <v>90.164398453608229</v>
      </c>
      <c r="AD33" s="14">
        <f t="shared" si="37"/>
        <v>0</v>
      </c>
      <c r="AF33" s="2">
        <v>45657</v>
      </c>
      <c r="AG33" s="14">
        <f t="shared" si="27"/>
        <v>0</v>
      </c>
      <c r="AH33" s="14">
        <f t="shared" si="28"/>
        <v>0</v>
      </c>
      <c r="AI33" s="14"/>
      <c r="AK33" s="2">
        <v>45657</v>
      </c>
      <c r="AL33" s="14">
        <f t="shared" si="38"/>
        <v>0</v>
      </c>
      <c r="AM33" s="14">
        <f t="shared" si="29"/>
        <v>0</v>
      </c>
      <c r="AN33" s="14"/>
      <c r="AO33" s="14">
        <f t="shared" si="39"/>
        <v>0</v>
      </c>
    </row>
    <row r="34" spans="1:41" x14ac:dyDescent="0.25">
      <c r="A34" s="2">
        <v>46022</v>
      </c>
      <c r="B34" s="14">
        <v>0</v>
      </c>
      <c r="C34" s="14">
        <v>200</v>
      </c>
      <c r="D34" s="14">
        <v>15</v>
      </c>
      <c r="E34" s="14">
        <f t="shared" si="30"/>
        <v>200</v>
      </c>
      <c r="G34" s="2">
        <v>46022</v>
      </c>
      <c r="H34" s="16">
        <v>163.67473828125</v>
      </c>
      <c r="I34" s="6">
        <f>H34/H33-1</f>
        <v>0.25</v>
      </c>
      <c r="K34" s="2">
        <v>46022</v>
      </c>
      <c r="L34" s="14">
        <f t="shared" si="31"/>
        <v>0</v>
      </c>
      <c r="M34" s="14">
        <f t="shared" si="31"/>
        <v>200</v>
      </c>
      <c r="N34" s="14">
        <f t="shared" si="41"/>
        <v>-280.84401171874998</v>
      </c>
      <c r="O34" s="14">
        <f t="shared" si="32"/>
        <v>200</v>
      </c>
      <c r="Q34" s="2">
        <v>46022</v>
      </c>
      <c r="R34" s="14">
        <f t="shared" si="23"/>
        <v>0</v>
      </c>
      <c r="S34" s="14">
        <f t="shared" si="24"/>
        <v>138.62928347142599</v>
      </c>
      <c r="T34" s="14"/>
      <c r="U34" s="14">
        <f t="shared" si="33"/>
        <v>138.62928347142599</v>
      </c>
      <c r="W34" s="14">
        <f t="shared" si="34"/>
        <v>0</v>
      </c>
      <c r="X34" s="14">
        <f t="shared" si="25"/>
        <v>200</v>
      </c>
      <c r="Z34" s="2">
        <v>46022</v>
      </c>
      <c r="AA34" s="14">
        <f t="shared" si="26"/>
        <v>0</v>
      </c>
      <c r="AB34" s="14">
        <f t="shared" si="35"/>
        <v>104.84232378326539</v>
      </c>
      <c r="AC34" s="14">
        <f t="shared" si="36"/>
        <v>7.8631742837449057</v>
      </c>
      <c r="AD34" s="14">
        <f t="shared" si="37"/>
        <v>104.84232378326539</v>
      </c>
      <c r="AF34" s="2">
        <v>46022</v>
      </c>
      <c r="AG34" s="14">
        <f t="shared" si="27"/>
        <v>0</v>
      </c>
      <c r="AH34" s="14">
        <f t="shared" si="28"/>
        <v>200</v>
      </c>
      <c r="AI34" s="14"/>
      <c r="AK34" s="2">
        <v>46022</v>
      </c>
      <c r="AL34" s="14">
        <f t="shared" si="38"/>
        <v>0</v>
      </c>
      <c r="AM34" s="14">
        <f t="shared" si="29"/>
        <v>200</v>
      </c>
      <c r="AN34" s="14"/>
      <c r="AO34" s="14">
        <f t="shared" si="39"/>
        <v>200</v>
      </c>
    </row>
    <row r="35" spans="1:41" ht="14.25" customHeight="1" x14ac:dyDescent="0.25">
      <c r="A35" s="2">
        <v>46022</v>
      </c>
      <c r="B35" s="5">
        <v>0</v>
      </c>
      <c r="C35" s="5">
        <v>0</v>
      </c>
      <c r="D35" s="14">
        <v>15</v>
      </c>
      <c r="E35" s="14">
        <f>B35+C35+D35</f>
        <v>15</v>
      </c>
      <c r="G35" s="2">
        <v>46022</v>
      </c>
      <c r="H35" s="16">
        <v>163.67473828125</v>
      </c>
      <c r="I35" s="6">
        <f>H35/H33-1</f>
        <v>0.25</v>
      </c>
      <c r="K35" s="2">
        <v>46022</v>
      </c>
      <c r="L35" s="5">
        <f t="shared" si="31"/>
        <v>0</v>
      </c>
      <c r="M35" s="5">
        <f t="shared" si="31"/>
        <v>0</v>
      </c>
      <c r="N35" s="14">
        <f>(N34*(H35/H34))-L35-M35</f>
        <v>-280.84401171874998</v>
      </c>
      <c r="O35" s="14">
        <f>SUM(L35:N35)</f>
        <v>-280.84401171874998</v>
      </c>
      <c r="Q35" s="2">
        <v>46022</v>
      </c>
      <c r="R35" s="5">
        <f t="shared" si="23"/>
        <v>0</v>
      </c>
      <c r="S35" s="5">
        <f t="shared" si="24"/>
        <v>0</v>
      </c>
      <c r="T35" s="14">
        <f>D35</f>
        <v>15</v>
      </c>
      <c r="U35" s="14">
        <f>SUM(R35:T35)</f>
        <v>15</v>
      </c>
      <c r="W35" s="14">
        <f t="shared" si="34"/>
        <v>0</v>
      </c>
      <c r="X35" s="14">
        <f t="shared" si="25"/>
        <v>0</v>
      </c>
      <c r="Z35" s="2">
        <v>46022</v>
      </c>
      <c r="AA35" s="5">
        <f t="shared" si="26"/>
        <v>0</v>
      </c>
      <c r="AB35" s="5">
        <f t="shared" si="35"/>
        <v>0</v>
      </c>
      <c r="AC35" s="14">
        <f t="shared" si="36"/>
        <v>7.8631742837449066</v>
      </c>
      <c r="AD35" s="14">
        <f>SUM(AA35:AC35)</f>
        <v>7.8631742837449066</v>
      </c>
      <c r="AF35" s="2">
        <v>46022</v>
      </c>
      <c r="AG35" s="5">
        <f t="shared" si="27"/>
        <v>0</v>
      </c>
      <c r="AH35" s="5">
        <f t="shared" si="28"/>
        <v>0</v>
      </c>
      <c r="AI35" s="14">
        <f>D35</f>
        <v>15</v>
      </c>
      <c r="AK35" s="2">
        <v>46022</v>
      </c>
      <c r="AL35" s="5">
        <f t="shared" si="38"/>
        <v>0</v>
      </c>
      <c r="AM35" s="5">
        <f t="shared" si="29"/>
        <v>0</v>
      </c>
      <c r="AN35" s="14">
        <f>D35</f>
        <v>15</v>
      </c>
      <c r="AO35" s="14">
        <f>-AL35+AM35+AN35</f>
        <v>15</v>
      </c>
    </row>
    <row r="36" spans="1:41" x14ac:dyDescent="0.25">
      <c r="A36" s="2"/>
      <c r="B36" s="14">
        <f>SUM(B25:B35)</f>
        <v>-400</v>
      </c>
      <c r="C36" s="14">
        <f>SUM(C25:C35)</f>
        <v>605</v>
      </c>
      <c r="D36" s="14"/>
      <c r="E36" s="14"/>
      <c r="L36" s="14">
        <f>SUM(L25:L35)</f>
        <v>-400</v>
      </c>
      <c r="M36" s="14">
        <f>SUM(M25:M35)</f>
        <v>605</v>
      </c>
      <c r="N36" s="14"/>
      <c r="O36" s="14"/>
      <c r="R36" s="14">
        <f>SUM(R25:R35)</f>
        <v>-400</v>
      </c>
      <c r="S36" s="14">
        <f>SUM(S25:S35)</f>
        <v>419.35358250106361</v>
      </c>
      <c r="T36" s="14"/>
      <c r="U36" s="14"/>
      <c r="W36" s="14">
        <f>SUM(W25:W35)</f>
        <v>-683.27708203125007</v>
      </c>
      <c r="X36" s="14">
        <f>SUM(X25:X35)</f>
        <v>964.12109375</v>
      </c>
      <c r="AA36" s="14">
        <f>SUM(AA25:AA35)</f>
        <v>-400</v>
      </c>
      <c r="AB36" s="14">
        <f>SUM(AB25:AB35)</f>
        <v>407.25707636058502</v>
      </c>
      <c r="AG36" s="14">
        <f>SUM(AG25:AG35)</f>
        <v>683.27708203125007</v>
      </c>
      <c r="AH36" s="9">
        <f>SUM(AH25:AH35)</f>
        <v>964.12109374999989</v>
      </c>
      <c r="AL36" s="14">
        <f>SUM(AL25:AL35)</f>
        <v>683.27708203125007</v>
      </c>
      <c r="AM36" s="14">
        <f>SUM(AM25:AM35)</f>
        <v>964.12109374999989</v>
      </c>
      <c r="AN36" s="14"/>
      <c r="AO36" s="14"/>
    </row>
    <row r="37" spans="1:41" x14ac:dyDescent="0.25">
      <c r="A37" s="2"/>
    </row>
    <row r="38" spans="1:41" ht="60" x14ac:dyDescent="0.25">
      <c r="A38" s="2" t="s">
        <v>20</v>
      </c>
      <c r="B38" s="6">
        <f>XIRR(E25:E35,A25:A35)</f>
        <v>9.6307927370071433E-2</v>
      </c>
      <c r="G38" s="13" t="s">
        <v>89</v>
      </c>
      <c r="H38" s="8">
        <f>RATE(9,,-H25,H35)</f>
        <v>5.6271931756050199E-2</v>
      </c>
      <c r="K38" t="s">
        <v>21</v>
      </c>
      <c r="L38" s="6">
        <f>XIRR(O25:O35,K25:K35)</f>
        <v>-9.2347940802574163E-2</v>
      </c>
      <c r="Q38" t="s">
        <v>22</v>
      </c>
      <c r="R38" s="6">
        <f>XIRR(U25:U35,Q25:Q35)</f>
        <v>1.6977539658546446E-2</v>
      </c>
      <c r="W38" t="s">
        <v>23</v>
      </c>
      <c r="X38" s="17">
        <f>(-W36-T35)/X36</f>
        <v>0.6931464173571299</v>
      </c>
      <c r="Z38" t="s">
        <v>24</v>
      </c>
      <c r="AA38" s="6">
        <f>XIRR(AD25:AD35,Z25:Z35)</f>
        <v>8.1345766782760613E-3</v>
      </c>
      <c r="AF38" t="s">
        <v>5</v>
      </c>
      <c r="AG38" s="11">
        <f>(AH36+AI35)/AG36</f>
        <v>1.4329780984886293</v>
      </c>
      <c r="AK38" t="s">
        <v>6</v>
      </c>
      <c r="AL38" s="6">
        <f>XIRR(AO25:AO35,AK25:AK35)</f>
        <v>8.7598964571952834E-2</v>
      </c>
    </row>
    <row r="39" spans="1:41" x14ac:dyDescent="0.25">
      <c r="A39" t="s">
        <v>25</v>
      </c>
      <c r="B39" s="3">
        <f>(D35+C36)/-B36</f>
        <v>1.55</v>
      </c>
      <c r="K39" s="15" t="s">
        <v>26</v>
      </c>
      <c r="L39" s="8">
        <f>B38-L38</f>
        <v>0.1886558681726456</v>
      </c>
      <c r="Q39" s="15" t="s">
        <v>26</v>
      </c>
      <c r="R39" s="8">
        <f>B38-R38</f>
        <v>7.933038771152498E-2</v>
      </c>
      <c r="Z39" s="15" t="s">
        <v>26</v>
      </c>
      <c r="AA39" s="8">
        <f>B38-AA38</f>
        <v>8.8173350691795369E-2</v>
      </c>
    </row>
    <row r="42" spans="1:41" x14ac:dyDescent="0.25">
      <c r="D42" s="11"/>
    </row>
  </sheetData>
  <mergeCells count="16">
    <mergeCell ref="AF2:AI2"/>
    <mergeCell ref="AK2:AO2"/>
    <mergeCell ref="A23:E23"/>
    <mergeCell ref="G23:I23"/>
    <mergeCell ref="K23:O23"/>
    <mergeCell ref="Q23:U23"/>
    <mergeCell ref="W23:X23"/>
    <mergeCell ref="Z23:AD23"/>
    <mergeCell ref="AF23:AI23"/>
    <mergeCell ref="AK23:AO23"/>
    <mergeCell ref="A2:E2"/>
    <mergeCell ref="G2:I2"/>
    <mergeCell ref="K2:O2"/>
    <mergeCell ref="Q2:U2"/>
    <mergeCell ref="W2:X2"/>
    <mergeCell ref="Z2:AD2"/>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F3FB1-1775-45A9-BCC9-B8C016520E0D}">
  <sheetPr>
    <tabColor rgb="FF00B050"/>
  </sheetPr>
  <dimension ref="A1:B11"/>
  <sheetViews>
    <sheetView workbookViewId="0">
      <selection activeCell="A5" sqref="A5"/>
    </sheetView>
  </sheetViews>
  <sheetFormatPr defaultRowHeight="15" x14ac:dyDescent="0.25"/>
  <cols>
    <col min="1" max="1" width="55.28515625" bestFit="1" customWidth="1"/>
    <col min="2" max="2" width="106.5703125" style="13" customWidth="1"/>
  </cols>
  <sheetData>
    <row r="1" spans="1:2" x14ac:dyDescent="0.25">
      <c r="A1" s="60" t="s">
        <v>144</v>
      </c>
      <c r="B1" s="61" t="s">
        <v>145</v>
      </c>
    </row>
    <row r="2" spans="1:2" ht="30" x14ac:dyDescent="0.25">
      <c r="A2" s="56" t="s">
        <v>97</v>
      </c>
      <c r="B2" s="13" t="s">
        <v>146</v>
      </c>
    </row>
    <row r="3" spans="1:2" ht="60" x14ac:dyDescent="0.25">
      <c r="A3" s="56" t="s">
        <v>141</v>
      </c>
      <c r="B3" s="13" t="s">
        <v>168</v>
      </c>
    </row>
    <row r="4" spans="1:2" ht="30" x14ac:dyDescent="0.25">
      <c r="A4" s="56" t="s">
        <v>169</v>
      </c>
      <c r="B4" s="13" t="s">
        <v>150</v>
      </c>
    </row>
    <row r="5" spans="1:2" ht="120" x14ac:dyDescent="0.25">
      <c r="A5" s="66" t="s">
        <v>198</v>
      </c>
      <c r="B5" s="13" t="s">
        <v>196</v>
      </c>
    </row>
    <row r="6" spans="1:2" ht="75" x14ac:dyDescent="0.25">
      <c r="A6" s="56" t="s">
        <v>170</v>
      </c>
      <c r="B6" s="13" t="s">
        <v>186</v>
      </c>
    </row>
    <row r="7" spans="1:2" ht="60" x14ac:dyDescent="0.25">
      <c r="A7" s="56" t="s">
        <v>173</v>
      </c>
      <c r="B7" s="13" t="s">
        <v>187</v>
      </c>
    </row>
    <row r="8" spans="1:2" ht="60" x14ac:dyDescent="0.25">
      <c r="A8" s="56" t="s">
        <v>142</v>
      </c>
      <c r="B8" s="13" t="s">
        <v>188</v>
      </c>
    </row>
    <row r="9" spans="1:2" ht="45" x14ac:dyDescent="0.25">
      <c r="A9" s="56" t="s">
        <v>172</v>
      </c>
      <c r="B9" s="13" t="s">
        <v>147</v>
      </c>
    </row>
    <row r="10" spans="1:2" ht="30" x14ac:dyDescent="0.25">
      <c r="A10" s="56" t="s">
        <v>171</v>
      </c>
      <c r="B10" s="13" t="s">
        <v>148</v>
      </c>
    </row>
    <row r="11" spans="1:2" ht="30" x14ac:dyDescent="0.25">
      <c r="A11" s="56" t="s">
        <v>143</v>
      </c>
      <c r="B11" s="13" t="s">
        <v>189</v>
      </c>
    </row>
  </sheetData>
  <hyperlinks>
    <hyperlink ref="A2" location="'Index Value Converted to Return'!A1" display="Index Value Converted to Return" xr:uid="{1A3BE73F-6D43-4156-A556-4FD7578F07D7}"/>
    <hyperlink ref="A3" location="'Portfolio-Weighted Benchmark'!A1" display="Portfolio-Weighted Benchmark" xr:uid="{076CF2BE-AFCD-428F-9037-99316D6261B0}"/>
    <hyperlink ref="A4" location="'Port. Wtd Benchmark with CFs'!A1" display="Port. Wtd Benchmark with CFs" xr:uid="{3A6B445C-EAE5-476C-8BEC-ACD9E09CCDFB}"/>
    <hyperlink ref="A6" location="'Blended Monthly Weighted BM'!A1" display="Blended Monthly Weighted BM" xr:uid="{C56EFBCC-5765-4C6A-82AC-9FBC1A4CD5BA}"/>
    <hyperlink ref="A7" location="'Blended Qtrly Weighted BM'!A1" display="Blended Qtrly Weighted BM" xr:uid="{8C38BF83-0400-49C1-8FBE-815A5E1AB1CF}"/>
    <hyperlink ref="A8" location="'Benchmark Change'!A1" display="Benchmark Change" xr:uid="{EE994D0C-D1CA-4349-804C-B899DA5D99D5}"/>
    <hyperlink ref="A9" location="'Benchmark - Net of Mgt Fees'!A1" display="Benchmark - Net of Mgt Fees" xr:uid="{338816FC-6B4E-48A2-B88B-26C940275009}"/>
    <hyperlink ref="A10" location="'Leveraged BM Return'!A1" display="Leveraged BM Return" xr:uid="{2226E2DF-8DB3-49E3-8AA9-6218D23F8AC1}"/>
    <hyperlink ref="A11" location="'Cash Return Benchmark'!A1" display="Cash Return Benchmark" xr:uid="{FC24D41E-D384-4EF0-A918-E08DC61D8A70}"/>
    <hyperlink ref="A5" location="'Port. Wtd w_Diff Blended Alloc.'!A1" display="Portfolio-Weighted Different Blended Benchmark Allocations" xr:uid="{D0FA888C-2514-4005-8BF4-51AABCC65D6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914D-D494-463D-B6FA-41AEBBA77DB7}">
  <sheetPr>
    <tabColor rgb="FF00B050"/>
  </sheetPr>
  <dimension ref="A1:G19"/>
  <sheetViews>
    <sheetView workbookViewId="0"/>
  </sheetViews>
  <sheetFormatPr defaultRowHeight="15" x14ac:dyDescent="0.25"/>
  <cols>
    <col min="1" max="1" width="16.5703125" bestFit="1" customWidth="1"/>
    <col min="2" max="2" width="11.5703125" style="16" bestFit="1" customWidth="1"/>
    <col min="3" max="3" width="13.140625" customWidth="1"/>
    <col min="4" max="4" width="24" bestFit="1" customWidth="1"/>
    <col min="6" max="6" width="11.85546875" customWidth="1"/>
    <col min="7" max="7" width="20" bestFit="1" customWidth="1"/>
  </cols>
  <sheetData>
    <row r="1" spans="1:7" x14ac:dyDescent="0.25">
      <c r="A1" s="18" t="s">
        <v>97</v>
      </c>
    </row>
    <row r="2" spans="1:7" ht="45" x14ac:dyDescent="0.25">
      <c r="A2" s="39" t="s">
        <v>7</v>
      </c>
      <c r="B2" s="39" t="s">
        <v>96</v>
      </c>
      <c r="C2" s="40" t="s">
        <v>97</v>
      </c>
      <c r="D2" s="40" t="s">
        <v>99</v>
      </c>
      <c r="F2" s="40" t="s">
        <v>161</v>
      </c>
      <c r="G2" s="40" t="s">
        <v>195</v>
      </c>
    </row>
    <row r="3" spans="1:7" x14ac:dyDescent="0.25">
      <c r="A3" s="41">
        <v>45291</v>
      </c>
      <c r="B3">
        <v>1525.65</v>
      </c>
      <c r="F3" s="65"/>
    </row>
    <row r="4" spans="1:7" x14ac:dyDescent="0.25">
      <c r="A4" s="41">
        <v>45322</v>
      </c>
      <c r="B4">
        <v>1541.67</v>
      </c>
      <c r="C4" s="42">
        <f>B4/B3-1</f>
        <v>1.0500442434372204E-2</v>
      </c>
      <c r="D4" s="42" t="s">
        <v>98</v>
      </c>
      <c r="F4" s="67">
        <f>C4+1</f>
        <v>1.0105004424343722</v>
      </c>
      <c r="G4" s="67" t="s">
        <v>194</v>
      </c>
    </row>
    <row r="5" spans="1:7" x14ac:dyDescent="0.25">
      <c r="A5" s="41">
        <v>45351</v>
      </c>
      <c r="B5">
        <v>1617.21</v>
      </c>
      <c r="C5" s="6">
        <f t="shared" ref="C5:C15" si="0">B5/B4-1</f>
        <v>4.899881297553943E-2</v>
      </c>
      <c r="F5" s="65">
        <f t="shared" ref="F5:F15" si="1">C5+1</f>
        <v>1.0489988129755394</v>
      </c>
    </row>
    <row r="6" spans="1:7" x14ac:dyDescent="0.25">
      <c r="A6" s="41">
        <v>45382</v>
      </c>
      <c r="B6">
        <v>1669.77</v>
      </c>
      <c r="C6" s="6">
        <f t="shared" si="0"/>
        <v>3.2500417385497249E-2</v>
      </c>
      <c r="F6" s="65">
        <f t="shared" si="1"/>
        <v>1.0325004173854972</v>
      </c>
    </row>
    <row r="7" spans="1:7" x14ac:dyDescent="0.25">
      <c r="A7" s="41">
        <v>45412</v>
      </c>
      <c r="B7">
        <v>1618.01</v>
      </c>
      <c r="C7" s="6">
        <f t="shared" si="0"/>
        <v>-3.099828120040482E-2</v>
      </c>
      <c r="F7" s="65">
        <f t="shared" si="1"/>
        <v>0.96900171879959518</v>
      </c>
    </row>
    <row r="8" spans="1:7" x14ac:dyDescent="0.25">
      <c r="A8" s="41">
        <v>45443</v>
      </c>
      <c r="B8">
        <v>1664.77</v>
      </c>
      <c r="C8" s="6">
        <f t="shared" si="0"/>
        <v>2.8899697776898714E-2</v>
      </c>
      <c r="F8" s="65">
        <f t="shared" si="1"/>
        <v>1.0288996977768987</v>
      </c>
    </row>
    <row r="9" spans="1:7" x14ac:dyDescent="0.25">
      <c r="A9" s="41">
        <v>45473</v>
      </c>
      <c r="B9">
        <v>1700.56</v>
      </c>
      <c r="C9" s="6">
        <f t="shared" si="0"/>
        <v>2.1498465253458443E-2</v>
      </c>
      <c r="F9" s="65">
        <f t="shared" si="1"/>
        <v>1.0214984652534584</v>
      </c>
    </row>
    <row r="10" spans="1:7" x14ac:dyDescent="0.25">
      <c r="A10" s="41">
        <v>45504</v>
      </c>
      <c r="B10">
        <v>1716.72</v>
      </c>
      <c r="C10" s="6">
        <f t="shared" si="0"/>
        <v>9.5027520346240291E-3</v>
      </c>
      <c r="F10" s="65">
        <f t="shared" si="1"/>
        <v>1.009502752034624</v>
      </c>
    </row>
    <row r="11" spans="1:7" x14ac:dyDescent="0.25">
      <c r="A11" s="41">
        <v>45535</v>
      </c>
      <c r="B11">
        <v>1750.71</v>
      </c>
      <c r="C11" s="6">
        <f t="shared" si="0"/>
        <v>1.9799384873479653E-2</v>
      </c>
      <c r="F11" s="65">
        <f t="shared" si="1"/>
        <v>1.0197993848734797</v>
      </c>
    </row>
    <row r="12" spans="1:7" x14ac:dyDescent="0.25">
      <c r="A12" s="41">
        <v>45565</v>
      </c>
      <c r="B12">
        <v>1794.12</v>
      </c>
      <c r="C12" s="6">
        <f t="shared" si="0"/>
        <v>2.4795654334527129E-2</v>
      </c>
      <c r="F12" s="65">
        <f t="shared" si="1"/>
        <v>1.0247956543345271</v>
      </c>
    </row>
    <row r="13" spans="1:7" x14ac:dyDescent="0.25">
      <c r="A13" s="41">
        <v>45596</v>
      </c>
      <c r="B13">
        <v>1785.15</v>
      </c>
      <c r="C13" s="6">
        <f t="shared" si="0"/>
        <v>-4.9996655742089446E-3</v>
      </c>
      <c r="F13" s="65">
        <f t="shared" si="1"/>
        <v>0.99500033442579106</v>
      </c>
    </row>
    <row r="14" spans="1:7" x14ac:dyDescent="0.25">
      <c r="A14" s="41">
        <v>45626</v>
      </c>
      <c r="B14">
        <v>1877.27</v>
      </c>
      <c r="C14" s="6">
        <f t="shared" si="0"/>
        <v>5.1603506708119751E-2</v>
      </c>
      <c r="F14" s="65">
        <f t="shared" si="1"/>
        <v>1.0516035067081198</v>
      </c>
    </row>
    <row r="15" spans="1:7" x14ac:dyDescent="0.25">
      <c r="A15" s="41">
        <v>45657</v>
      </c>
      <c r="B15">
        <v>1813.44</v>
      </c>
      <c r="C15" s="6">
        <f t="shared" si="0"/>
        <v>-3.4001502181359111E-2</v>
      </c>
      <c r="F15" s="65">
        <f t="shared" si="1"/>
        <v>0.96599849781864089</v>
      </c>
    </row>
    <row r="16" spans="1:7" x14ac:dyDescent="0.25">
      <c r="C16" s="62">
        <f>FVSCHEDULE(1,C4:C15)-1</f>
        <v>0.18863435257103567</v>
      </c>
      <c r="D16" s="62" t="s">
        <v>154</v>
      </c>
      <c r="F16" s="62">
        <f>PRODUCT(F4:F15)-1</f>
        <v>0.18863435257103567</v>
      </c>
      <c r="G16" s="62" t="s">
        <v>184</v>
      </c>
    </row>
    <row r="17" spans="1:3" x14ac:dyDescent="0.25">
      <c r="C17" s="8"/>
    </row>
    <row r="19" spans="1:3" x14ac:dyDescent="0.25">
      <c r="A19" t="s">
        <v>115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284D9-AF19-4C74-A6D5-DF75BCDB1E98}">
  <sheetPr>
    <tabColor rgb="FF00B050"/>
  </sheetPr>
  <dimension ref="A1:O53"/>
  <sheetViews>
    <sheetView topLeftCell="A13" workbookViewId="0">
      <selection activeCell="C39" sqref="C39:D39"/>
    </sheetView>
  </sheetViews>
  <sheetFormatPr defaultRowHeight="15" x14ac:dyDescent="0.25"/>
  <cols>
    <col min="1" max="1" width="41" bestFit="1" customWidth="1"/>
    <col min="2" max="2" width="15.140625" bestFit="1" customWidth="1"/>
    <col min="3" max="3" width="12.5703125" bestFit="1" customWidth="1"/>
    <col min="4" max="11" width="10.5703125" bestFit="1" customWidth="1"/>
    <col min="12" max="14" width="10.42578125" bestFit="1" customWidth="1"/>
    <col min="15" max="15" width="9.42578125" bestFit="1" customWidth="1"/>
  </cols>
  <sheetData>
    <row r="1" spans="1:15" x14ac:dyDescent="0.25">
      <c r="A1" s="18" t="s">
        <v>162</v>
      </c>
    </row>
    <row r="2" spans="1:15" x14ac:dyDescent="0.25">
      <c r="A2" s="18" t="s">
        <v>30</v>
      </c>
      <c r="B2" s="71" t="s">
        <v>190</v>
      </c>
      <c r="C2" s="71"/>
      <c r="D2" s="71"/>
      <c r="E2" s="71"/>
      <c r="F2" s="71"/>
      <c r="G2" s="71"/>
      <c r="H2" s="71"/>
      <c r="I2" s="71"/>
      <c r="J2" s="71"/>
      <c r="K2" s="71"/>
      <c r="L2" s="71"/>
      <c r="M2" s="71"/>
      <c r="N2" s="71"/>
    </row>
    <row r="3" spans="1:15" x14ac:dyDescent="0.25">
      <c r="A3" t="s">
        <v>31</v>
      </c>
      <c r="B3" s="19">
        <v>45291</v>
      </c>
      <c r="C3" s="19">
        <v>45322</v>
      </c>
      <c r="D3" s="19">
        <v>45351</v>
      </c>
      <c r="E3" s="19">
        <v>45382</v>
      </c>
      <c r="F3" s="19">
        <v>45412</v>
      </c>
      <c r="G3" s="19">
        <v>45443</v>
      </c>
      <c r="H3" s="19">
        <v>45473</v>
      </c>
      <c r="I3" s="19">
        <v>45504</v>
      </c>
      <c r="J3" s="19">
        <v>45535</v>
      </c>
      <c r="K3" s="19">
        <v>45565</v>
      </c>
      <c r="L3" s="19">
        <v>45596</v>
      </c>
      <c r="M3" s="19">
        <v>45626</v>
      </c>
      <c r="N3" s="19">
        <v>45657</v>
      </c>
    </row>
    <row r="4" spans="1:15" x14ac:dyDescent="0.25">
      <c r="A4" t="s">
        <v>32</v>
      </c>
      <c r="B4" s="14">
        <v>250000</v>
      </c>
      <c r="C4" s="14">
        <v>240000</v>
      </c>
      <c r="D4" s="14">
        <v>247560.00000000003</v>
      </c>
      <c r="E4" s="14">
        <v>256175.08800000002</v>
      </c>
      <c r="F4" s="14">
        <v>241624.34300160003</v>
      </c>
      <c r="G4" s="14">
        <v>253488.09824297857</v>
      </c>
      <c r="H4" s="14">
        <v>248291.59222899753</v>
      </c>
      <c r="I4" s="14">
        <v>275727.81317030179</v>
      </c>
      <c r="J4" s="14">
        <v>272005.48769250273</v>
      </c>
      <c r="K4" s="14">
        <v>274045.52885019651</v>
      </c>
      <c r="L4" s="14">
        <v>266235.23127796594</v>
      </c>
      <c r="M4" s="14">
        <v>295521.10671854223</v>
      </c>
      <c r="N4" s="14">
        <v>271879.41818105883</v>
      </c>
    </row>
    <row r="5" spans="1:15" x14ac:dyDescent="0.25">
      <c r="A5" t="s">
        <v>33</v>
      </c>
      <c r="B5" s="14">
        <v>500000</v>
      </c>
      <c r="C5" s="14">
        <v>510000</v>
      </c>
      <c r="D5" s="14">
        <v>536775</v>
      </c>
      <c r="E5" s="14">
        <v>548315.66250000009</v>
      </c>
      <c r="F5" s="14">
        <v>526383.03600000008</v>
      </c>
      <c r="G5" s="14">
        <v>553018.01762160007</v>
      </c>
      <c r="H5" s="14">
        <v>571875.93202249659</v>
      </c>
      <c r="I5" s="14">
        <v>579024.38117277774</v>
      </c>
      <c r="J5" s="14">
        <v>590836.47854870243</v>
      </c>
      <c r="K5" s="14">
        <v>603834.88107677386</v>
      </c>
      <c r="L5" s="14">
        <v>599909.95434977487</v>
      </c>
      <c r="M5" s="14">
        <v>635904.55161076144</v>
      </c>
      <c r="N5" s="14">
        <v>620642.84237210313</v>
      </c>
    </row>
    <row r="6" spans="1:15" x14ac:dyDescent="0.25">
      <c r="A6" t="s">
        <v>34</v>
      </c>
      <c r="B6" s="14">
        <v>325000</v>
      </c>
      <c r="C6" s="14">
        <v>337187.5</v>
      </c>
      <c r="D6" s="14">
        <v>336850.3125</v>
      </c>
      <c r="E6" s="14">
        <v>332471.25843749999</v>
      </c>
      <c r="F6" s="14">
        <v>335131.02850499999</v>
      </c>
      <c r="G6" s="14">
        <v>327087.88382087997</v>
      </c>
      <c r="H6" s="14">
        <v>331830.6581362827</v>
      </c>
      <c r="I6" s="14">
        <v>334385.75420393207</v>
      </c>
      <c r="J6" s="14">
        <v>342912.59093613236</v>
      </c>
      <c r="K6" s="14">
        <v>348227.73609564244</v>
      </c>
      <c r="L6" s="14">
        <v>353799.37987317273</v>
      </c>
      <c r="M6" s="14">
        <v>344529.83612049563</v>
      </c>
      <c r="N6" s="14">
        <v>348491.92923588137</v>
      </c>
    </row>
    <row r="7" spans="1:15" x14ac:dyDescent="0.25">
      <c r="A7" t="s">
        <v>35</v>
      </c>
      <c r="B7" s="20">
        <f t="shared" ref="B7:N7" si="0">SUM(B4:B6)</f>
        <v>1075000</v>
      </c>
      <c r="C7" s="20">
        <f t="shared" si="0"/>
        <v>1087187.5</v>
      </c>
      <c r="D7" s="20">
        <f t="shared" si="0"/>
        <v>1121185.3125</v>
      </c>
      <c r="E7" s="20">
        <f t="shared" si="0"/>
        <v>1136962.0089375</v>
      </c>
      <c r="F7" s="20">
        <f t="shared" si="0"/>
        <v>1103138.4075066</v>
      </c>
      <c r="G7" s="20">
        <f t="shared" si="0"/>
        <v>1133593.9996854586</v>
      </c>
      <c r="H7" s="20">
        <f t="shared" si="0"/>
        <v>1151998.1823877767</v>
      </c>
      <c r="I7" s="20">
        <f t="shared" si="0"/>
        <v>1189137.9485470117</v>
      </c>
      <c r="J7" s="20">
        <f t="shared" si="0"/>
        <v>1205754.5571773374</v>
      </c>
      <c r="K7" s="20">
        <f t="shared" si="0"/>
        <v>1226108.1460226127</v>
      </c>
      <c r="L7" s="20">
        <f t="shared" si="0"/>
        <v>1219944.5655009137</v>
      </c>
      <c r="M7" s="20">
        <f t="shared" si="0"/>
        <v>1275955.4944497992</v>
      </c>
      <c r="N7" s="20">
        <f t="shared" si="0"/>
        <v>1241014.1897890433</v>
      </c>
    </row>
    <row r="9" spans="1:15" x14ac:dyDescent="0.25">
      <c r="A9" s="18" t="s">
        <v>36</v>
      </c>
      <c r="B9" s="71" t="s">
        <v>37</v>
      </c>
      <c r="C9" s="71"/>
      <c r="D9" s="71"/>
      <c r="E9" s="71"/>
      <c r="F9" s="71"/>
      <c r="G9" s="71"/>
      <c r="H9" s="71"/>
      <c r="I9" s="71"/>
      <c r="J9" s="71"/>
      <c r="K9" s="71"/>
      <c r="L9" s="71"/>
      <c r="M9" s="71"/>
      <c r="N9" s="71"/>
    </row>
    <row r="10" spans="1:15" x14ac:dyDescent="0.25">
      <c r="A10" t="s">
        <v>38</v>
      </c>
      <c r="B10" s="19">
        <v>45291</v>
      </c>
      <c r="C10" s="19">
        <v>45322</v>
      </c>
      <c r="D10" s="19">
        <v>45351</v>
      </c>
      <c r="E10" s="19">
        <v>45382</v>
      </c>
      <c r="F10" s="19">
        <v>45412</v>
      </c>
      <c r="G10" s="19">
        <v>45443</v>
      </c>
      <c r="H10" s="19">
        <v>45473</v>
      </c>
      <c r="I10" s="19">
        <v>45504</v>
      </c>
      <c r="J10" s="19">
        <v>45535</v>
      </c>
      <c r="K10" s="19">
        <v>45565</v>
      </c>
      <c r="L10" s="19">
        <v>45596</v>
      </c>
      <c r="M10" s="19">
        <v>45626</v>
      </c>
      <c r="N10" s="19">
        <v>45657</v>
      </c>
      <c r="O10" s="21" t="s">
        <v>39</v>
      </c>
    </row>
    <row r="11" spans="1:15" x14ac:dyDescent="0.25">
      <c r="A11" t="s">
        <v>40</v>
      </c>
      <c r="C11" s="6">
        <v>-3.95E-2</v>
      </c>
      <c r="D11" s="6">
        <v>3.32E-2</v>
      </c>
      <c r="E11" s="6">
        <v>3.2399999999999998E-2</v>
      </c>
      <c r="F11" s="6">
        <v>-5.6099999999999997E-2</v>
      </c>
      <c r="G11" s="6">
        <v>5.04E-2</v>
      </c>
      <c r="H11" s="6">
        <v>-2.2800000000000001E-2</v>
      </c>
      <c r="I11" s="6">
        <v>0.108</v>
      </c>
      <c r="J11" s="6">
        <v>-1.44E-2</v>
      </c>
      <c r="K11" s="6">
        <v>8.5000000000000006E-3</v>
      </c>
      <c r="L11" s="6">
        <v>-2.64E-2</v>
      </c>
      <c r="M11" s="6">
        <v>0.1094</v>
      </c>
      <c r="N11" s="6">
        <v>-7.9500000000000001E-2</v>
      </c>
      <c r="O11" s="6">
        <f>FVSCHEDULE(1,C11:N11)-1</f>
        <v>8.6933057537466718E-2</v>
      </c>
    </row>
    <row r="12" spans="1:15" x14ac:dyDescent="0.25">
      <c r="A12" t="s">
        <v>41</v>
      </c>
      <c r="C12" s="6">
        <v>1.6799999999999999E-2</v>
      </c>
      <c r="D12" s="6">
        <v>5.3400000000000003E-2</v>
      </c>
      <c r="E12" s="6">
        <v>3.2199999999999999E-2</v>
      </c>
      <c r="F12" s="6">
        <v>-4.0800000000000003E-2</v>
      </c>
      <c r="G12" s="6">
        <v>4.9599999999999998E-2</v>
      </c>
      <c r="H12" s="6">
        <v>3.5900000000000001E-2</v>
      </c>
      <c r="I12" s="6">
        <v>1.2200000000000001E-2</v>
      </c>
      <c r="J12" s="6">
        <v>2.4299999999999999E-2</v>
      </c>
      <c r="K12" s="6">
        <v>2.1399999999999999E-2</v>
      </c>
      <c r="L12" s="6">
        <v>-9.1000000000000004E-3</v>
      </c>
      <c r="M12" s="6">
        <v>5.8700000000000002E-2</v>
      </c>
      <c r="N12" s="6">
        <v>-2.3800000000000002E-2</v>
      </c>
      <c r="O12" s="6">
        <f>FVSCHEDULE(1,C12:N12)-1</f>
        <v>0.25047333560819185</v>
      </c>
    </row>
    <row r="13" spans="1:15" x14ac:dyDescent="0.25">
      <c r="A13" t="s">
        <v>42</v>
      </c>
      <c r="C13" s="6">
        <v>3.8278997962106764E-2</v>
      </c>
      <c r="D13" s="6">
        <v>-2.7461508892872022E-3</v>
      </c>
      <c r="E13" s="6">
        <v>-1.4128233044790717E-2</v>
      </c>
      <c r="F13" s="6">
        <v>9.2339086929789094E-3</v>
      </c>
      <c r="G13" s="6">
        <v>-2.5258493865635168E-2</v>
      </c>
      <c r="H13" s="6">
        <v>1.695325900383815E-2</v>
      </c>
      <c r="I13" s="6">
        <v>9.4672898494245761E-3</v>
      </c>
      <c r="J13" s="6">
        <v>2.3357014473998516E-2</v>
      </c>
      <c r="K13" s="6">
        <v>1.4369876557483119E-2</v>
      </c>
      <c r="L13" s="6">
        <v>1.3389351508219738E-2</v>
      </c>
      <c r="M13" s="6">
        <v>-2.4798850292510499E-2</v>
      </c>
      <c r="N13" s="6">
        <v>1.0572772440607281E-2</v>
      </c>
      <c r="O13" s="6">
        <f>FVSCHEDULE(1,C13:N13)-1</f>
        <v>6.8750682575209332E-2</v>
      </c>
    </row>
    <row r="14" spans="1:15" x14ac:dyDescent="0.25">
      <c r="C14" s="3"/>
      <c r="D14" s="3"/>
      <c r="E14" s="3"/>
      <c r="F14" s="3"/>
      <c r="G14" s="3"/>
      <c r="H14" s="3"/>
      <c r="I14" s="3"/>
      <c r="J14" s="3"/>
      <c r="K14" s="3"/>
      <c r="L14" s="3"/>
      <c r="M14" s="3"/>
      <c r="N14" s="3"/>
      <c r="O14" s="6"/>
    </row>
    <row r="15" spans="1:15" x14ac:dyDescent="0.25">
      <c r="C15" s="19">
        <v>45322</v>
      </c>
      <c r="D15" s="19">
        <v>45351</v>
      </c>
      <c r="E15" s="19">
        <v>45382</v>
      </c>
      <c r="F15" s="19">
        <v>45412</v>
      </c>
      <c r="G15" s="19">
        <v>45443</v>
      </c>
      <c r="H15" s="19">
        <v>45473</v>
      </c>
      <c r="I15" s="19">
        <v>45504</v>
      </c>
      <c r="J15" s="19">
        <v>45535</v>
      </c>
      <c r="K15" s="19">
        <v>45565</v>
      </c>
      <c r="L15" s="19">
        <v>45596</v>
      </c>
      <c r="M15" s="19">
        <v>45626</v>
      </c>
      <c r="N15" s="19">
        <v>45657</v>
      </c>
      <c r="O15" s="21" t="s">
        <v>39</v>
      </c>
    </row>
    <row r="16" spans="1:15" x14ac:dyDescent="0.25">
      <c r="A16" s="18" t="s">
        <v>43</v>
      </c>
      <c r="C16" s="6">
        <f t="shared" ref="C16:N16" si="1">B4/B7*C11+B5/B7*C12+B6/B7*C13</f>
        <v>1.0200627290869487E-2</v>
      </c>
      <c r="D16" s="6">
        <f t="shared" si="1"/>
        <v>3.1527250126605094E-2</v>
      </c>
      <c r="E16" s="6">
        <f t="shared" si="1"/>
        <v>1.8325248337383498E-2</v>
      </c>
      <c r="F16" s="6">
        <f t="shared" si="1"/>
        <v>-2.9616374125654151E-2</v>
      </c>
      <c r="G16" s="6">
        <f t="shared" si="1"/>
        <v>2.7033380618673344E-2</v>
      </c>
      <c r="H16" s="6">
        <f t="shared" si="1"/>
        <v>1.7306922769132489E-2</v>
      </c>
      <c r="I16" s="6">
        <f t="shared" si="1"/>
        <v>3.2060740995575016E-2</v>
      </c>
      <c r="J16" s="6">
        <f t="shared" si="1"/>
        <v>1.5061385330079087E-2</v>
      </c>
      <c r="K16" s="6">
        <f t="shared" si="1"/>
        <v>1.6490552550458275E-2</v>
      </c>
      <c r="L16" s="6">
        <f t="shared" si="1"/>
        <v>-6.5794814610088369E-3</v>
      </c>
      <c r="M16" s="6">
        <f t="shared" si="1"/>
        <v>4.5548816182698737E-2</v>
      </c>
      <c r="N16" s="6">
        <f t="shared" si="1"/>
        <v>-2.7419311181574275E-2</v>
      </c>
      <c r="O16" s="6">
        <f>FVSCHEDULE(1,C16:N16)-1</f>
        <v>0.15733440477951777</v>
      </c>
    </row>
    <row r="17" spans="1:15" x14ac:dyDescent="0.25">
      <c r="A17" s="34" t="s">
        <v>84</v>
      </c>
      <c r="C17" s="6" cm="1">
        <f t="array" ref="C17">SUMPRODUCT(B4:B6/B7,C11:C13)</f>
        <v>1.0200627290869487E-2</v>
      </c>
      <c r="D17" s="6" cm="1">
        <f t="array" ref="D17">SUMPRODUCT(C4:C6/C7,D11:D13)</f>
        <v>3.1527250126605094E-2</v>
      </c>
      <c r="E17" s="6" cm="1">
        <f t="array" ref="E17">SUMPRODUCT(D4:D6/D7,E11:E13)</f>
        <v>1.8325248337383498E-2</v>
      </c>
      <c r="F17" s="6" cm="1">
        <f t="array" ref="F17">SUMPRODUCT(E4:E6/E7,F11:F13)</f>
        <v>-2.9616374125654151E-2</v>
      </c>
      <c r="G17" s="6" cm="1">
        <f t="array" ref="G17">SUMPRODUCT(F4:F6/F7,G11:G13)</f>
        <v>2.7033380618673344E-2</v>
      </c>
      <c r="H17" s="6" cm="1">
        <f t="array" ref="H17">SUMPRODUCT(G4:G6/G7,H11:H13)</f>
        <v>1.7306922769132489E-2</v>
      </c>
      <c r="I17" s="6" cm="1">
        <f t="array" ref="I17">SUMPRODUCT(H4:H6/H7,I11:I13)</f>
        <v>3.2060740995575016E-2</v>
      </c>
      <c r="J17" s="6" cm="1">
        <f t="array" ref="J17">SUMPRODUCT(I4:I6/I7,J11:J13)</f>
        <v>1.5061385330079087E-2</v>
      </c>
      <c r="K17" s="6" cm="1">
        <f t="array" ref="K17">SUMPRODUCT(J4:J6/J7,K11:K13)</f>
        <v>1.6490552550458275E-2</v>
      </c>
      <c r="L17" s="6" cm="1">
        <f t="array" ref="L17">SUMPRODUCT(K4:K6/K7,L11:L13)</f>
        <v>-6.5794814610088369E-3</v>
      </c>
      <c r="M17" s="6" cm="1">
        <f t="array" ref="M17">SUMPRODUCT(L4:L6/L7,M11:M13)</f>
        <v>4.5548816182698737E-2</v>
      </c>
      <c r="N17" s="6" cm="1">
        <f t="array" ref="N17">SUMPRODUCT(M4:M6/M7,N11:N13)</f>
        <v>-2.7419311181574275E-2</v>
      </c>
      <c r="O17" s="6"/>
    </row>
    <row r="19" spans="1:15" x14ac:dyDescent="0.25">
      <c r="A19" s="18" t="s">
        <v>44</v>
      </c>
      <c r="B19" s="71" t="s">
        <v>191</v>
      </c>
      <c r="C19" s="71"/>
      <c r="D19" s="71"/>
      <c r="E19" s="71"/>
      <c r="F19" s="71"/>
      <c r="G19" s="71"/>
      <c r="H19" s="71"/>
      <c r="I19" s="71"/>
      <c r="J19" s="71"/>
      <c r="K19" s="71"/>
      <c r="L19" s="71"/>
      <c r="M19" s="71"/>
      <c r="N19" s="71"/>
    </row>
    <row r="20" spans="1:15" x14ac:dyDescent="0.25">
      <c r="A20" t="s">
        <v>31</v>
      </c>
      <c r="B20" s="19">
        <v>45291</v>
      </c>
      <c r="C20" s="19">
        <v>45322</v>
      </c>
      <c r="D20" s="19">
        <v>45351</v>
      </c>
      <c r="E20" s="19">
        <v>45382</v>
      </c>
      <c r="F20" s="19">
        <v>45412</v>
      </c>
      <c r="G20" s="19">
        <v>45443</v>
      </c>
      <c r="H20" s="19">
        <v>45473</v>
      </c>
      <c r="I20" s="19">
        <v>45504</v>
      </c>
      <c r="J20" s="19">
        <v>45535</v>
      </c>
      <c r="K20" s="19">
        <v>45565</v>
      </c>
      <c r="L20" s="19">
        <v>45596</v>
      </c>
      <c r="M20" s="19">
        <v>45626</v>
      </c>
      <c r="N20" s="19">
        <v>45657</v>
      </c>
    </row>
    <row r="21" spans="1:15" x14ac:dyDescent="0.25">
      <c r="A21" t="s">
        <v>32</v>
      </c>
      <c r="B21" s="14">
        <v>400000</v>
      </c>
      <c r="C21" s="14">
        <v>386000</v>
      </c>
      <c r="D21" s="14">
        <v>406072</v>
      </c>
      <c r="E21" s="14">
        <v>420203.30559999996</v>
      </c>
      <c r="F21" s="14">
        <v>394360.80230559997</v>
      </c>
      <c r="G21" s="14">
        <v>413802.78985926602</v>
      </c>
      <c r="H21" s="14">
        <v>408630.25498602522</v>
      </c>
      <c r="I21" s="14">
        <v>449493.28048462776</v>
      </c>
      <c r="J21" s="14">
        <v>442750.88127735833</v>
      </c>
      <c r="K21" s="14">
        <v>446071.51288693852</v>
      </c>
      <c r="L21" s="14">
        <v>437150.08262919972</v>
      </c>
      <c r="M21" s="14">
        <v>483925.14147052407</v>
      </c>
      <c r="N21" s="14">
        <v>442743.1119313825</v>
      </c>
    </row>
    <row r="22" spans="1:15" x14ac:dyDescent="0.25">
      <c r="A22" t="s">
        <v>33</v>
      </c>
      <c r="B22" s="14">
        <v>700000</v>
      </c>
      <c r="C22" s="14">
        <v>710150</v>
      </c>
      <c r="D22" s="14">
        <v>745657.5</v>
      </c>
      <c r="E22" s="14">
        <v>766908.73875000002</v>
      </c>
      <c r="F22" s="14">
        <v>736462.46182162501</v>
      </c>
      <c r="G22" s="14">
        <v>771076.19752724131</v>
      </c>
      <c r="H22" s="14">
        <v>795904.8510876185</v>
      </c>
      <c r="I22" s="14">
        <v>807047.51900284516</v>
      </c>
      <c r="J22" s="14">
        <v>826174.54520321265</v>
      </c>
      <c r="K22" s="14">
        <v>842284.94883467536</v>
      </c>
      <c r="L22" s="14">
        <v>836388.95419283258</v>
      </c>
      <c r="M22" s="14">
        <v>890837.87511078594</v>
      </c>
      <c r="N22" s="14">
        <v>865894.4146076839</v>
      </c>
    </row>
    <row r="23" spans="1:15" x14ac:dyDescent="0.25">
      <c r="A23" t="s">
        <v>34</v>
      </c>
      <c r="B23" s="14">
        <v>300000</v>
      </c>
      <c r="C23" s="14">
        <v>311490</v>
      </c>
      <c r="D23" s="14">
        <v>312206.42699999997</v>
      </c>
      <c r="E23" s="14">
        <v>308147.74344899994</v>
      </c>
      <c r="F23" s="14">
        <v>310243.14810445311</v>
      </c>
      <c r="G23" s="14">
        <v>302487.06940184179</v>
      </c>
      <c r="H23" s="14">
        <v>308022.58277189551</v>
      </c>
      <c r="I23" s="14">
        <v>311133.61085789168</v>
      </c>
      <c r="J23" s="14">
        <v>318818.61104608158</v>
      </c>
      <c r="K23" s="14">
        <v>328383.16937746404</v>
      </c>
      <c r="L23" s="14">
        <v>319188.44063489506</v>
      </c>
      <c r="M23" s="14">
        <v>323178.29614283121</v>
      </c>
      <c r="N23" s="14">
        <v>318492.21084876015</v>
      </c>
    </row>
    <row r="24" spans="1:15" x14ac:dyDescent="0.25">
      <c r="A24" t="s">
        <v>35</v>
      </c>
      <c r="B24" s="20">
        <f t="shared" ref="B24:N24" si="2">SUM(B21:B23)</f>
        <v>1400000</v>
      </c>
      <c r="C24" s="20">
        <f t="shared" si="2"/>
        <v>1407640</v>
      </c>
      <c r="D24" s="20">
        <f t="shared" si="2"/>
        <v>1463935.9269999999</v>
      </c>
      <c r="E24" s="20">
        <f t="shared" si="2"/>
        <v>1495259.787799</v>
      </c>
      <c r="F24" s="20">
        <f t="shared" si="2"/>
        <v>1441066.4122316781</v>
      </c>
      <c r="G24" s="20">
        <f t="shared" si="2"/>
        <v>1487366.0567883493</v>
      </c>
      <c r="H24" s="20">
        <f t="shared" si="2"/>
        <v>1512557.6888455392</v>
      </c>
      <c r="I24" s="20">
        <f t="shared" si="2"/>
        <v>1567674.4103453646</v>
      </c>
      <c r="J24" s="20">
        <f t="shared" si="2"/>
        <v>1587744.0375266527</v>
      </c>
      <c r="K24" s="20">
        <f t="shared" si="2"/>
        <v>1616739.6310990781</v>
      </c>
      <c r="L24" s="20">
        <f t="shared" si="2"/>
        <v>1592727.4774569273</v>
      </c>
      <c r="M24" s="20">
        <f t="shared" si="2"/>
        <v>1697941.3127241412</v>
      </c>
      <c r="N24" s="20">
        <f t="shared" si="2"/>
        <v>1627129.7373878264</v>
      </c>
    </row>
    <row r="25" spans="1:15" x14ac:dyDescent="0.25">
      <c r="B25" s="14"/>
      <c r="C25" s="14"/>
      <c r="D25" s="14"/>
      <c r="E25" s="14"/>
      <c r="F25" s="14"/>
      <c r="G25" s="14"/>
      <c r="H25" s="14"/>
      <c r="I25" s="14"/>
      <c r="J25" s="14"/>
      <c r="K25" s="14"/>
      <c r="L25" s="14"/>
      <c r="M25" s="14"/>
      <c r="N25" s="14"/>
    </row>
    <row r="26" spans="1:15" x14ac:dyDescent="0.25">
      <c r="B26" s="71" t="s">
        <v>45</v>
      </c>
      <c r="C26" s="71"/>
      <c r="D26" s="71"/>
      <c r="E26" s="71"/>
      <c r="F26" s="71"/>
      <c r="G26" s="71"/>
      <c r="H26" s="71"/>
      <c r="I26" s="71"/>
      <c r="J26" s="71"/>
      <c r="K26" s="71"/>
      <c r="L26" s="71"/>
      <c r="M26" s="71"/>
      <c r="N26" s="71"/>
    </row>
    <row r="27" spans="1:15" x14ac:dyDescent="0.25">
      <c r="A27" s="18" t="s">
        <v>46</v>
      </c>
      <c r="B27" s="19">
        <v>45291</v>
      </c>
      <c r="C27" s="19">
        <v>45322</v>
      </c>
      <c r="D27" s="19">
        <v>45351</v>
      </c>
      <c r="E27" s="19">
        <v>45382</v>
      </c>
      <c r="F27" s="19">
        <v>45412</v>
      </c>
      <c r="G27" s="19">
        <v>45443</v>
      </c>
      <c r="H27" s="19">
        <v>45473</v>
      </c>
      <c r="I27" s="19">
        <v>45504</v>
      </c>
      <c r="J27" s="19">
        <v>45535</v>
      </c>
      <c r="K27" s="19">
        <v>45565</v>
      </c>
      <c r="L27" s="19">
        <v>45596</v>
      </c>
      <c r="M27" s="19">
        <v>45626</v>
      </c>
      <c r="N27" s="19">
        <v>45657</v>
      </c>
      <c r="O27" s="22" t="s">
        <v>39</v>
      </c>
    </row>
    <row r="28" spans="1:15" x14ac:dyDescent="0.25">
      <c r="A28" t="s">
        <v>47</v>
      </c>
      <c r="C28" s="6">
        <v>-3.9332632814850998E-2</v>
      </c>
      <c r="D28" s="6">
        <v>5.5203508375527788E-2</v>
      </c>
      <c r="E28" s="6">
        <v>3.3924782464814784E-2</v>
      </c>
      <c r="F28" s="6">
        <v>-7.0904426819797139E-2</v>
      </c>
      <c r="G28" s="6">
        <v>4.8745890136834946E-2</v>
      </c>
      <c r="H28" s="6">
        <v>-1.0839898943544646E-2</v>
      </c>
      <c r="I28" s="6">
        <v>0.10098696580048738</v>
      </c>
      <c r="J28" s="6">
        <v>-1.634523260352716E-2</v>
      </c>
      <c r="K28" s="6">
        <v>5.5644990372603065E-3</v>
      </c>
      <c r="L28" s="6">
        <v>-1.4941905048049819E-2</v>
      </c>
      <c r="M28" s="6">
        <v>0.10838321990303412</v>
      </c>
      <c r="N28" s="6">
        <v>-8.4021636896082996E-2</v>
      </c>
      <c r="O28" s="6">
        <f>FVSCHEDULE(1,C28:N28)-1</f>
        <v>0.10018894266108225</v>
      </c>
    </row>
    <row r="29" spans="1:15" x14ac:dyDescent="0.25">
      <c r="A29" t="s">
        <v>48</v>
      </c>
      <c r="C29" s="6">
        <v>1.3077104960070862E-2</v>
      </c>
      <c r="D29" s="6">
        <v>5.2374803778002743E-2</v>
      </c>
      <c r="E29" s="6">
        <v>3.0888265678432836E-2</v>
      </c>
      <c r="F29" s="6">
        <v>-4.3297674111960394E-2</v>
      </c>
      <c r="G29" s="6">
        <v>4.5561870495769208E-2</v>
      </c>
      <c r="H29" s="6">
        <v>3.1875813025756594E-2</v>
      </c>
      <c r="I29" s="6">
        <v>1.3729392464298273E-2</v>
      </c>
      <c r="J29" s="6">
        <v>2.230159045989355E-2</v>
      </c>
      <c r="K29" s="6">
        <v>2.0219091519529719E-2</v>
      </c>
      <c r="L29" s="6">
        <v>-7.710504728049683E-3</v>
      </c>
      <c r="M29" s="6">
        <v>6.2986852772197066E-2</v>
      </c>
      <c r="N29" s="6">
        <v>-2.9037975751948775E-2</v>
      </c>
      <c r="O29" s="6">
        <f>FVSCHEDULE(1,C29:N29)-1</f>
        <v>0.22840504320898214</v>
      </c>
    </row>
    <row r="30" spans="1:15" x14ac:dyDescent="0.25">
      <c r="A30" t="s">
        <v>49</v>
      </c>
      <c r="C30" s="6">
        <v>3.6656950045921066E-2</v>
      </c>
      <c r="D30" s="6">
        <v>-1.6178113323832566E-3</v>
      </c>
      <c r="E30" s="6">
        <v>-1.4120915158763792E-2</v>
      </c>
      <c r="F30" s="6">
        <v>8.0616757327904853E-3</v>
      </c>
      <c r="G30" s="6">
        <v>-2.4185721495399548E-2</v>
      </c>
      <c r="H30" s="6">
        <v>1.6868236791852231E-2</v>
      </c>
      <c r="I30" s="6">
        <v>9.7026604068857214E-3</v>
      </c>
      <c r="J30" s="6">
        <v>2.3209857408555523E-2</v>
      </c>
      <c r="K30" s="6">
        <v>2.7682054000833123E-2</v>
      </c>
      <c r="L30" s="6">
        <v>-2.4614931092932446E-2</v>
      </c>
      <c r="M30" s="6">
        <v>1.0086890819795968E-2</v>
      </c>
      <c r="N30" s="6">
        <v>-1.5858174065901176E-2</v>
      </c>
      <c r="O30" s="6">
        <f>FVSCHEDULE(1,C30:N30)-1</f>
        <v>5.0712774028670804E-2</v>
      </c>
    </row>
    <row r="31" spans="1:15" x14ac:dyDescent="0.25">
      <c r="C31" s="3"/>
      <c r="D31" s="3"/>
      <c r="E31" s="3"/>
      <c r="F31" s="3"/>
      <c r="G31" s="3"/>
      <c r="H31" s="3"/>
      <c r="I31" s="3"/>
      <c r="J31" s="3"/>
      <c r="K31" s="3"/>
      <c r="L31" s="3"/>
      <c r="M31" s="3"/>
      <c r="N31" s="3"/>
      <c r="O31" s="6"/>
    </row>
    <row r="32" spans="1:15" x14ac:dyDescent="0.25">
      <c r="C32" s="19">
        <v>45322</v>
      </c>
      <c r="D32" s="19">
        <v>45351</v>
      </c>
      <c r="E32" s="19">
        <v>45382</v>
      </c>
      <c r="F32" s="19">
        <v>45412</v>
      </c>
      <c r="G32" s="19">
        <v>45443</v>
      </c>
      <c r="H32" s="19">
        <v>45473</v>
      </c>
      <c r="I32" s="19">
        <v>45504</v>
      </c>
      <c r="J32" s="19">
        <v>45535</v>
      </c>
      <c r="K32" s="19">
        <v>45565</v>
      </c>
      <c r="L32" s="19">
        <v>45596</v>
      </c>
      <c r="M32" s="19">
        <v>45626</v>
      </c>
      <c r="N32" s="19">
        <v>45657</v>
      </c>
      <c r="O32" s="21" t="s">
        <v>39</v>
      </c>
    </row>
    <row r="33" spans="1:15" x14ac:dyDescent="0.25">
      <c r="A33" s="18" t="s">
        <v>50</v>
      </c>
      <c r="C33" s="6">
        <f t="shared" ref="C33:N33" si="3">B21/B24*C28+B22/B24*C29+B23/B24*C30</f>
        <v>3.155718114203945E-3</v>
      </c>
      <c r="D33" s="6">
        <f t="shared" si="3"/>
        <v>4.1202714532109282E-2</v>
      </c>
      <c r="E33" s="6">
        <f t="shared" si="3"/>
        <v>2.2131659019309333E-2</v>
      </c>
      <c r="F33" s="6">
        <f t="shared" si="3"/>
        <v>-4.047153042145607E-2</v>
      </c>
      <c r="G33" s="6">
        <f t="shared" si="3"/>
        <v>3.1417442592358527E-2</v>
      </c>
      <c r="H33" s="6">
        <f t="shared" si="3"/>
        <v>1.6939692602577272E-2</v>
      </c>
      <c r="I33" s="6">
        <f t="shared" si="3"/>
        <v>3.6482746129534019E-2</v>
      </c>
      <c r="J33" s="6">
        <f t="shared" si="3"/>
        <v>1.1400797035600096E-2</v>
      </c>
      <c r="K33" s="6">
        <f t="shared" si="3"/>
        <v>1.7631141379840915E-2</v>
      </c>
      <c r="L33" s="6">
        <f t="shared" si="3"/>
        <v>-1.3139239583318316E-2</v>
      </c>
      <c r="M33" s="6">
        <f t="shared" si="3"/>
        <v>6.4845280732393262E-2</v>
      </c>
      <c r="N33" s="6">
        <f t="shared" si="3"/>
        <v>-4.2200120979153183E-2</v>
      </c>
      <c r="O33" s="6">
        <f>FVSCHEDULE(1,C33:N33)-1</f>
        <v>0.15369483059172984</v>
      </c>
    </row>
    <row r="34" spans="1:15" x14ac:dyDescent="0.25">
      <c r="A34" s="34" t="s">
        <v>84</v>
      </c>
      <c r="C34" s="6" cm="1">
        <f t="array" ref="C34">SUMPRODUCT(B21:B23/B24,C28:C30)</f>
        <v>3.155718114203945E-3</v>
      </c>
      <c r="D34" s="6" cm="1">
        <f t="array" ref="D34">SUMPRODUCT(C21:C23/C24,D28:D30)</f>
        <v>4.1202714532109282E-2</v>
      </c>
      <c r="E34" s="6" cm="1">
        <f t="array" ref="E34">SUMPRODUCT(D21:D23/D24,E28:E30)</f>
        <v>2.2131659019309333E-2</v>
      </c>
      <c r="F34" s="6" cm="1">
        <f t="array" ref="F34">SUMPRODUCT(E21:E23/E24,F28:F30)</f>
        <v>-4.047153042145607E-2</v>
      </c>
      <c r="G34" s="6" cm="1">
        <f t="array" ref="G34">SUMPRODUCT(F21:F23/F24,G28:G30)</f>
        <v>3.1417442592358527E-2</v>
      </c>
      <c r="H34" s="6" cm="1">
        <f t="array" ref="H34">SUMPRODUCT(G21:G23/G24,H28:H30)</f>
        <v>1.6939692602577272E-2</v>
      </c>
      <c r="I34" s="6" cm="1">
        <f t="array" ref="I34">SUMPRODUCT(H21:H23/H24,I28:I30)</f>
        <v>3.6482746129534019E-2</v>
      </c>
      <c r="J34" s="6" cm="1">
        <f t="array" ref="J34">SUMPRODUCT(I21:I23/I24,J28:J30)</f>
        <v>1.1400797035600096E-2</v>
      </c>
      <c r="K34" s="6" cm="1">
        <f t="array" ref="K34">SUMPRODUCT(J21:J23/J24,K28:K30)</f>
        <v>1.7631141379840915E-2</v>
      </c>
      <c r="L34" s="6" cm="1">
        <f t="array" ref="L34">SUMPRODUCT(K21:K23/K24,L28:L30)</f>
        <v>-1.3139239583318316E-2</v>
      </c>
      <c r="M34" s="6" cm="1">
        <f t="array" ref="M34">SUMPRODUCT(L21:L23/L24,M28:M30)</f>
        <v>6.4845280732393262E-2</v>
      </c>
      <c r="N34" s="6" cm="1">
        <f t="array" ref="N34">SUMPRODUCT(M21:M23/M24,N28:N30)</f>
        <v>-4.2200120979153183E-2</v>
      </c>
      <c r="O34" s="6"/>
    </row>
    <row r="35" spans="1:15" x14ac:dyDescent="0.25">
      <c r="C35" s="6"/>
      <c r="D35" s="6"/>
      <c r="E35" s="6"/>
      <c r="F35" s="6"/>
      <c r="G35" s="6"/>
      <c r="H35" s="6"/>
      <c r="I35" s="6"/>
      <c r="J35" s="6"/>
      <c r="K35" s="6"/>
      <c r="L35" s="6"/>
      <c r="M35" s="6"/>
      <c r="N35" s="6"/>
      <c r="O35" s="6"/>
    </row>
    <row r="36" spans="1:15" x14ac:dyDescent="0.25">
      <c r="A36" s="18" t="s">
        <v>51</v>
      </c>
      <c r="B36" s="19">
        <v>45291</v>
      </c>
      <c r="C36" s="19">
        <v>45322</v>
      </c>
      <c r="D36" s="19">
        <v>45351</v>
      </c>
      <c r="E36" s="19">
        <v>45382</v>
      </c>
      <c r="F36" s="19">
        <v>45412</v>
      </c>
      <c r="G36" s="19">
        <v>45443</v>
      </c>
      <c r="H36" s="19">
        <v>45473</v>
      </c>
      <c r="I36" s="19">
        <v>45504</v>
      </c>
      <c r="J36" s="19">
        <v>45535</v>
      </c>
      <c r="K36" s="19">
        <v>45565</v>
      </c>
      <c r="L36" s="19">
        <v>45596</v>
      </c>
      <c r="M36" s="19">
        <v>45626</v>
      </c>
      <c r="N36" s="19">
        <v>45657</v>
      </c>
      <c r="O36" s="22" t="s">
        <v>39</v>
      </c>
    </row>
    <row r="37" spans="1:15" x14ac:dyDescent="0.25">
      <c r="A37" t="s">
        <v>52</v>
      </c>
      <c r="B37" s="9">
        <f t="shared" ref="B37:N37" si="4">B7+B24</f>
        <v>2475000</v>
      </c>
      <c r="C37" s="9">
        <f t="shared" si="4"/>
        <v>2494827.5</v>
      </c>
      <c r="D37" s="9">
        <f t="shared" si="4"/>
        <v>2585121.2395000001</v>
      </c>
      <c r="E37" s="9">
        <f t="shared" si="4"/>
        <v>2632221.7967365002</v>
      </c>
      <c r="F37" s="9">
        <f t="shared" si="4"/>
        <v>2544204.8197382782</v>
      </c>
      <c r="G37" s="9">
        <f t="shared" si="4"/>
        <v>2620960.0564738079</v>
      </c>
      <c r="H37" s="9">
        <f t="shared" si="4"/>
        <v>2664555.8712333161</v>
      </c>
      <c r="I37" s="9">
        <f t="shared" si="4"/>
        <v>2756812.3588923765</v>
      </c>
      <c r="J37" s="9">
        <f t="shared" si="4"/>
        <v>2793498.59470399</v>
      </c>
      <c r="K37" s="9">
        <f t="shared" si="4"/>
        <v>2842847.777121691</v>
      </c>
      <c r="L37" s="9">
        <f t="shared" si="4"/>
        <v>2812672.042957841</v>
      </c>
      <c r="M37" s="9">
        <f t="shared" si="4"/>
        <v>2973896.8071739404</v>
      </c>
      <c r="N37" s="9">
        <f t="shared" si="4"/>
        <v>2868143.9271768695</v>
      </c>
    </row>
    <row r="38" spans="1:15" x14ac:dyDescent="0.25">
      <c r="A38" t="s">
        <v>53</v>
      </c>
      <c r="C38" s="10">
        <f t="shared" ref="C38:N38" si="5">B7/B37*C16+B24/B37*C33</f>
        <v>6.2156281606344328E-3</v>
      </c>
      <c r="D38" s="10">
        <f t="shared" si="5"/>
        <v>3.6986373338836767E-2</v>
      </c>
      <c r="E38" s="10">
        <f t="shared" si="5"/>
        <v>2.0480791862787194E-2</v>
      </c>
      <c r="F38" s="10">
        <f t="shared" si="5"/>
        <v>-3.5782753691202054E-2</v>
      </c>
      <c r="G38" s="10">
        <f t="shared" si="5"/>
        <v>2.9516562951481654E-2</v>
      </c>
      <c r="H38" s="10">
        <f t="shared" si="5"/>
        <v>1.7098523681395982E-2</v>
      </c>
      <c r="I38" s="10">
        <f t="shared" si="5"/>
        <v>3.4570929630646972E-2</v>
      </c>
      <c r="J38" s="10">
        <f t="shared" si="5"/>
        <v>1.2979774451647687E-2</v>
      </c>
      <c r="K38" s="10">
        <f t="shared" si="5"/>
        <v>1.7138830346822689E-2</v>
      </c>
      <c r="L38" s="10">
        <f t="shared" si="5"/>
        <v>-1.0310043826011552E-2</v>
      </c>
      <c r="M38" s="10">
        <f t="shared" si="5"/>
        <v>5.6475795523579064E-2</v>
      </c>
      <c r="N38" s="10">
        <f t="shared" si="5"/>
        <v>-3.585838933999777E-2</v>
      </c>
      <c r="O38" s="10">
        <f>FVSCHEDULE(1,C38:N38)-1</f>
        <v>0.15526341432169866</v>
      </c>
    </row>
    <row r="39" spans="1:15" x14ac:dyDescent="0.25">
      <c r="C39" s="6"/>
      <c r="D39" s="6"/>
    </row>
    <row r="40" spans="1:15" x14ac:dyDescent="0.25">
      <c r="B40" t="s">
        <v>54</v>
      </c>
      <c r="C40" t="s">
        <v>55</v>
      </c>
    </row>
    <row r="41" spans="1:15" x14ac:dyDescent="0.25">
      <c r="A41" s="4" t="s">
        <v>81</v>
      </c>
      <c r="B41" s="19" t="s">
        <v>56</v>
      </c>
      <c r="C41" s="19" t="s">
        <v>56</v>
      </c>
    </row>
    <row r="42" spans="1:15" x14ac:dyDescent="0.25">
      <c r="A42" t="s">
        <v>40</v>
      </c>
      <c r="B42" s="9">
        <f>N4</f>
        <v>271879.41818105883</v>
      </c>
      <c r="C42" s="23">
        <f>B42/$B$48</f>
        <v>9.4792808549420057E-2</v>
      </c>
    </row>
    <row r="43" spans="1:15" x14ac:dyDescent="0.25">
      <c r="A43" t="s">
        <v>41</v>
      </c>
      <c r="B43" s="9">
        <f>N5</f>
        <v>620642.84237210313</v>
      </c>
      <c r="C43" s="23">
        <f t="shared" ref="C43:C47" si="6">B43/$B$48</f>
        <v>0.21639180533837621</v>
      </c>
    </row>
    <row r="44" spans="1:15" x14ac:dyDescent="0.25">
      <c r="A44" t="s">
        <v>42</v>
      </c>
      <c r="B44" s="9">
        <f>N6</f>
        <v>348491.92923588137</v>
      </c>
      <c r="C44" s="23">
        <f t="shared" si="6"/>
        <v>0.12150433802633605</v>
      </c>
    </row>
    <row r="45" spans="1:15" x14ac:dyDescent="0.25">
      <c r="A45" t="s">
        <v>47</v>
      </c>
      <c r="B45" s="9">
        <f>N21</f>
        <v>442743.1119313825</v>
      </c>
      <c r="C45" s="23">
        <f t="shared" si="6"/>
        <v>0.1543657233293648</v>
      </c>
    </row>
    <row r="46" spans="1:15" x14ac:dyDescent="0.25">
      <c r="A46" t="s">
        <v>48</v>
      </c>
      <c r="B46" s="9">
        <f t="shared" ref="B46:B47" si="7">N22</f>
        <v>865894.4146076839</v>
      </c>
      <c r="C46" s="23">
        <f t="shared" si="6"/>
        <v>0.30190061468079415</v>
      </c>
    </row>
    <row r="47" spans="1:15" x14ac:dyDescent="0.25">
      <c r="A47" t="s">
        <v>49</v>
      </c>
      <c r="B47" s="9">
        <f t="shared" si="7"/>
        <v>318492.21084876015</v>
      </c>
      <c r="C47" s="23">
        <f t="shared" si="6"/>
        <v>0.11104471007570872</v>
      </c>
    </row>
    <row r="48" spans="1:15" x14ac:dyDescent="0.25">
      <c r="B48" s="24">
        <f>SUM(B42:B47)</f>
        <v>2868143.9271768699</v>
      </c>
      <c r="C48" s="25">
        <f>SUM(C42:C47)</f>
        <v>0.99999999999999989</v>
      </c>
    </row>
    <row r="50" spans="1:1" x14ac:dyDescent="0.25">
      <c r="A50" s="18" t="s">
        <v>113</v>
      </c>
    </row>
    <row r="51" spans="1:1" x14ac:dyDescent="0.25">
      <c r="A51" t="s">
        <v>152</v>
      </c>
    </row>
    <row r="52" spans="1:1" x14ac:dyDescent="0.25">
      <c r="A52" t="s">
        <v>116</v>
      </c>
    </row>
    <row r="53" spans="1:1" x14ac:dyDescent="0.25">
      <c r="A53" t="s">
        <v>117</v>
      </c>
    </row>
  </sheetData>
  <mergeCells count="4">
    <mergeCell ref="B2:N2"/>
    <mergeCell ref="B9:N9"/>
    <mergeCell ref="B19:N19"/>
    <mergeCell ref="B26:N2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C38E7-0E49-4EB0-9359-0EDC818027D5}">
  <sheetPr>
    <tabColor rgb="FF00B050"/>
  </sheetPr>
  <dimension ref="A1:O100"/>
  <sheetViews>
    <sheetView workbookViewId="0"/>
  </sheetViews>
  <sheetFormatPr defaultRowHeight="15" x14ac:dyDescent="0.25"/>
  <cols>
    <col min="1" max="1" width="41" bestFit="1" customWidth="1"/>
    <col min="2" max="2" width="15.140625" bestFit="1" customWidth="1"/>
    <col min="3" max="3" width="12.5703125" bestFit="1" customWidth="1"/>
    <col min="4" max="4" width="11.5703125" bestFit="1" customWidth="1"/>
    <col min="5" max="11" width="10.5703125" bestFit="1" customWidth="1"/>
    <col min="12" max="14" width="10.42578125" bestFit="1" customWidth="1"/>
    <col min="15" max="15" width="9.42578125" bestFit="1" customWidth="1"/>
  </cols>
  <sheetData>
    <row r="1" spans="1:14" x14ac:dyDescent="0.25">
      <c r="A1" s="18" t="s">
        <v>163</v>
      </c>
    </row>
    <row r="2" spans="1:14" x14ac:dyDescent="0.25">
      <c r="A2" s="18" t="s">
        <v>30</v>
      </c>
      <c r="B2" s="71" t="s">
        <v>190</v>
      </c>
      <c r="C2" s="71"/>
      <c r="D2" s="71"/>
      <c r="E2" s="71"/>
      <c r="F2" s="71"/>
      <c r="G2" s="71"/>
      <c r="H2" s="71"/>
      <c r="I2" s="71"/>
      <c r="J2" s="71"/>
      <c r="K2" s="71"/>
      <c r="L2" s="71"/>
      <c r="M2" s="71"/>
      <c r="N2" s="71"/>
    </row>
    <row r="3" spans="1:14" x14ac:dyDescent="0.25">
      <c r="A3" t="s">
        <v>31</v>
      </c>
      <c r="B3" s="19">
        <v>45291</v>
      </c>
      <c r="C3" s="19">
        <v>45322</v>
      </c>
      <c r="D3" s="19">
        <v>45351</v>
      </c>
      <c r="E3" s="19">
        <v>45382</v>
      </c>
      <c r="F3" s="19">
        <v>45412</v>
      </c>
      <c r="G3" s="19">
        <v>45443</v>
      </c>
      <c r="H3" s="19">
        <v>45473</v>
      </c>
      <c r="I3" s="19">
        <v>45504</v>
      </c>
      <c r="J3" s="19">
        <v>45535</v>
      </c>
      <c r="K3" s="19">
        <v>45565</v>
      </c>
      <c r="L3" s="19">
        <v>45596</v>
      </c>
      <c r="M3" s="19">
        <v>45626</v>
      </c>
      <c r="N3" s="19">
        <v>45657</v>
      </c>
    </row>
    <row r="4" spans="1:14" x14ac:dyDescent="0.25">
      <c r="A4" t="s">
        <v>32</v>
      </c>
      <c r="B4" s="14">
        <v>250000</v>
      </c>
      <c r="C4" s="14">
        <v>240000</v>
      </c>
      <c r="D4" s="14">
        <v>247560.00000000003</v>
      </c>
      <c r="E4" s="14">
        <v>256175.08800000002</v>
      </c>
      <c r="F4" s="14">
        <v>241624.34300160003</v>
      </c>
      <c r="G4" s="14">
        <v>253488.09824297857</v>
      </c>
      <c r="H4" s="14">
        <v>248291.59222899753</v>
      </c>
      <c r="I4" s="14">
        <v>275727.81317030179</v>
      </c>
      <c r="J4" s="14">
        <v>272005.48769250273</v>
      </c>
      <c r="K4" s="14">
        <v>274045.52885019651</v>
      </c>
      <c r="L4" s="14">
        <v>266235.23127796594</v>
      </c>
      <c r="M4" s="14">
        <v>295521.10671854223</v>
      </c>
      <c r="N4" s="14">
        <v>271879.41818105883</v>
      </c>
    </row>
    <row r="5" spans="1:14" x14ac:dyDescent="0.25">
      <c r="A5" t="s">
        <v>33</v>
      </c>
      <c r="B5" s="14">
        <v>500000</v>
      </c>
      <c r="C5" s="14">
        <v>510000</v>
      </c>
      <c r="D5" s="14">
        <v>536775</v>
      </c>
      <c r="E5" s="14">
        <v>548315.66250000009</v>
      </c>
      <c r="F5" s="14">
        <v>526383.03600000008</v>
      </c>
      <c r="G5" s="14">
        <v>553018.01762160007</v>
      </c>
      <c r="H5" s="14">
        <v>571875.93202249659</v>
      </c>
      <c r="I5" s="14">
        <v>579024.38117277774</v>
      </c>
      <c r="J5" s="14">
        <v>590836.47854870243</v>
      </c>
      <c r="K5" s="14">
        <v>603834.88107677386</v>
      </c>
      <c r="L5" s="14">
        <v>599909.95434977487</v>
      </c>
      <c r="M5" s="14">
        <v>635904.55161076144</v>
      </c>
      <c r="N5" s="14">
        <v>620642.84237210313</v>
      </c>
    </row>
    <row r="6" spans="1:14" x14ac:dyDescent="0.25">
      <c r="A6" t="s">
        <v>34</v>
      </c>
      <c r="B6" s="14">
        <v>325000</v>
      </c>
      <c r="C6" s="14">
        <v>363098.07500000001</v>
      </c>
      <c r="D6" s="14">
        <v>362734.97692500002</v>
      </c>
      <c r="E6" s="14">
        <v>358019.42222497502</v>
      </c>
      <c r="F6" s="14">
        <v>360883.57760277484</v>
      </c>
      <c r="G6" s="14">
        <v>352222.37174030824</v>
      </c>
      <c r="H6" s="14">
        <v>357329.59613054269</v>
      </c>
      <c r="I6" s="14">
        <v>360081.03402074787</v>
      </c>
      <c r="J6" s="14">
        <v>369263.10038827697</v>
      </c>
      <c r="K6" s="14">
        <v>374986.67844429531</v>
      </c>
      <c r="L6" s="14">
        <v>380986.46529940405</v>
      </c>
      <c r="M6" s="14">
        <v>371004.61990855972</v>
      </c>
      <c r="N6" s="14">
        <v>375271.17303750815</v>
      </c>
    </row>
    <row r="7" spans="1:14" x14ac:dyDescent="0.25">
      <c r="A7" t="s">
        <v>35</v>
      </c>
      <c r="B7" s="20">
        <f t="shared" ref="B7:N7" si="0">SUM(B4:B6)</f>
        <v>1075000</v>
      </c>
      <c r="C7" s="20">
        <f t="shared" si="0"/>
        <v>1113098.075</v>
      </c>
      <c r="D7" s="20">
        <f t="shared" si="0"/>
        <v>1147069.9769250001</v>
      </c>
      <c r="E7" s="20">
        <f t="shared" si="0"/>
        <v>1162510.172724975</v>
      </c>
      <c r="F7" s="20">
        <f t="shared" si="0"/>
        <v>1128890.956604375</v>
      </c>
      <c r="G7" s="20">
        <f t="shared" si="0"/>
        <v>1158728.4876048868</v>
      </c>
      <c r="H7" s="20">
        <f t="shared" si="0"/>
        <v>1177497.1203820368</v>
      </c>
      <c r="I7" s="20">
        <f t="shared" si="0"/>
        <v>1214833.2283638273</v>
      </c>
      <c r="J7" s="20">
        <f t="shared" si="0"/>
        <v>1232105.066629482</v>
      </c>
      <c r="K7" s="20">
        <f t="shared" si="0"/>
        <v>1252867.0883712657</v>
      </c>
      <c r="L7" s="20">
        <f t="shared" si="0"/>
        <v>1247131.6509271448</v>
      </c>
      <c r="M7" s="20">
        <f t="shared" si="0"/>
        <v>1302430.2782378634</v>
      </c>
      <c r="N7" s="20">
        <f t="shared" si="0"/>
        <v>1267793.4335906701</v>
      </c>
    </row>
    <row r="8" spans="1:14" x14ac:dyDescent="0.25">
      <c r="B8" s="36"/>
      <c r="C8" s="36"/>
      <c r="D8" s="36"/>
      <c r="E8" s="36"/>
      <c r="F8" s="36"/>
      <c r="G8" s="36"/>
      <c r="H8" s="36"/>
      <c r="I8" s="36"/>
      <c r="J8" s="36"/>
      <c r="K8" s="36"/>
      <c r="L8" s="36"/>
      <c r="M8" s="36"/>
      <c r="N8" s="36"/>
    </row>
    <row r="9" spans="1:14" x14ac:dyDescent="0.25">
      <c r="A9" s="18" t="s">
        <v>30</v>
      </c>
      <c r="B9" s="36"/>
      <c r="C9" s="10"/>
      <c r="D9" s="10"/>
      <c r="E9" s="10"/>
      <c r="F9" s="10"/>
      <c r="G9" s="10"/>
      <c r="H9" s="10"/>
      <c r="I9" s="10"/>
      <c r="J9" s="10"/>
      <c r="K9" s="10"/>
      <c r="L9" s="10"/>
      <c r="M9" s="10"/>
      <c r="N9" s="10"/>
    </row>
    <row r="10" spans="1:14" x14ac:dyDescent="0.25">
      <c r="A10" s="4" t="s">
        <v>91</v>
      </c>
      <c r="B10" s="36"/>
      <c r="C10" s="36"/>
      <c r="D10" s="36"/>
      <c r="E10" s="36"/>
      <c r="F10" s="36"/>
      <c r="G10" s="36"/>
      <c r="H10" s="36"/>
      <c r="I10" s="36"/>
      <c r="J10" s="36"/>
      <c r="K10" s="36"/>
      <c r="L10" s="36"/>
      <c r="M10" s="36"/>
      <c r="N10" s="36"/>
    </row>
    <row r="11" spans="1:14" x14ac:dyDescent="0.25">
      <c r="A11" t="s">
        <v>32</v>
      </c>
      <c r="B11" s="36"/>
      <c r="C11" s="36"/>
      <c r="D11" s="36"/>
      <c r="E11" s="36"/>
      <c r="F11" s="36"/>
      <c r="G11" s="36"/>
      <c r="H11" s="36"/>
      <c r="I11" s="36"/>
      <c r="J11" s="36"/>
      <c r="K11" s="36"/>
      <c r="L11" s="36"/>
      <c r="M11" s="36"/>
      <c r="N11" s="36"/>
    </row>
    <row r="12" spans="1:14" x14ac:dyDescent="0.25">
      <c r="A12" t="s">
        <v>33</v>
      </c>
      <c r="B12" s="36"/>
      <c r="C12" s="36"/>
      <c r="D12" s="36"/>
      <c r="E12" s="36"/>
      <c r="F12" s="36"/>
      <c r="G12" s="36"/>
      <c r="H12" s="36"/>
      <c r="I12" s="36"/>
      <c r="J12" s="36"/>
      <c r="K12" s="36"/>
      <c r="L12" s="36"/>
      <c r="M12" s="36"/>
      <c r="N12" s="36"/>
    </row>
    <row r="13" spans="1:14" x14ac:dyDescent="0.25">
      <c r="A13" t="s">
        <v>34</v>
      </c>
      <c r="B13" s="36"/>
      <c r="C13" s="36">
        <v>25000</v>
      </c>
      <c r="D13" s="36"/>
      <c r="E13" s="36"/>
      <c r="F13" s="36"/>
      <c r="G13" s="36"/>
      <c r="H13" s="36"/>
      <c r="I13" s="36"/>
      <c r="J13" s="36"/>
      <c r="K13" s="36"/>
      <c r="L13" s="36"/>
      <c r="M13" s="36"/>
      <c r="N13" s="36"/>
    </row>
    <row r="14" spans="1:14" x14ac:dyDescent="0.25">
      <c r="A14" t="s">
        <v>35</v>
      </c>
      <c r="B14" s="36"/>
      <c r="C14" s="36"/>
      <c r="D14" s="36"/>
      <c r="E14" s="36"/>
      <c r="F14" s="36"/>
      <c r="G14" s="36"/>
      <c r="H14" s="36"/>
      <c r="I14" s="36"/>
      <c r="J14" s="36"/>
      <c r="K14" s="36"/>
      <c r="L14" s="36"/>
      <c r="M14" s="36"/>
      <c r="N14" s="36"/>
    </row>
    <row r="15" spans="1:14" x14ac:dyDescent="0.25">
      <c r="B15" s="36"/>
      <c r="C15" s="36"/>
      <c r="D15" s="36"/>
      <c r="E15" s="36"/>
      <c r="F15" s="36"/>
      <c r="G15" s="36"/>
      <c r="H15" s="36"/>
      <c r="I15" s="36"/>
      <c r="J15" s="36"/>
      <c r="K15" s="36"/>
      <c r="L15" s="36"/>
      <c r="M15" s="36"/>
      <c r="N15" s="36"/>
    </row>
    <row r="16" spans="1:14" x14ac:dyDescent="0.25">
      <c r="A16" s="18" t="s">
        <v>30</v>
      </c>
      <c r="B16" s="36"/>
      <c r="C16" s="36"/>
      <c r="D16" s="36"/>
      <c r="E16" s="36"/>
      <c r="F16" s="36"/>
      <c r="G16" s="36"/>
      <c r="H16" s="36"/>
      <c r="I16" s="36"/>
      <c r="J16" s="36"/>
      <c r="K16" s="36"/>
      <c r="L16" s="36"/>
      <c r="M16" s="36"/>
      <c r="N16" s="36"/>
    </row>
    <row r="17" spans="1:15" x14ac:dyDescent="0.25">
      <c r="A17" s="4" t="s">
        <v>90</v>
      </c>
      <c r="B17" s="36"/>
      <c r="C17" s="36"/>
      <c r="D17" s="36"/>
      <c r="E17" s="36"/>
      <c r="F17" s="36"/>
      <c r="G17" s="36"/>
      <c r="H17" s="36"/>
      <c r="I17" s="36"/>
      <c r="J17" s="36"/>
      <c r="K17" s="36"/>
      <c r="L17" s="36"/>
      <c r="M17" s="36"/>
      <c r="N17" s="36"/>
    </row>
    <row r="18" spans="1:15" x14ac:dyDescent="0.25">
      <c r="A18" t="s">
        <v>32</v>
      </c>
      <c r="B18" s="36"/>
      <c r="C18" s="36"/>
      <c r="D18" s="36"/>
      <c r="E18" s="36"/>
      <c r="F18" s="36"/>
      <c r="G18" s="36"/>
      <c r="H18" s="36"/>
      <c r="I18" s="36"/>
      <c r="J18" s="36"/>
      <c r="K18" s="36"/>
      <c r="L18" s="36"/>
      <c r="M18" s="36"/>
      <c r="N18" s="36"/>
    </row>
    <row r="19" spans="1:15" x14ac:dyDescent="0.25">
      <c r="A19" t="s">
        <v>33</v>
      </c>
      <c r="B19" s="36"/>
      <c r="C19" s="36"/>
      <c r="D19" s="36"/>
      <c r="E19" s="36"/>
      <c r="F19" s="36"/>
      <c r="G19" s="36"/>
      <c r="H19" s="36"/>
      <c r="I19" s="36"/>
      <c r="J19" s="36"/>
      <c r="K19" s="36"/>
      <c r="L19" s="36"/>
      <c r="M19" s="36"/>
      <c r="N19" s="36"/>
    </row>
    <row r="20" spans="1:15" x14ac:dyDescent="0.25">
      <c r="A20" t="s">
        <v>34</v>
      </c>
      <c r="B20" s="36"/>
      <c r="C20" s="37">
        <f>(31-5+1)/31</f>
        <v>0.87096774193548387</v>
      </c>
      <c r="D20" s="36"/>
      <c r="E20" s="36"/>
      <c r="F20" s="36"/>
      <c r="G20" s="36"/>
      <c r="H20" s="36"/>
      <c r="I20" s="36"/>
      <c r="J20" s="36"/>
      <c r="K20" s="36"/>
      <c r="L20" s="36"/>
      <c r="M20" s="36"/>
      <c r="N20" s="36"/>
    </row>
    <row r="21" spans="1:15" x14ac:dyDescent="0.25">
      <c r="A21" t="s">
        <v>35</v>
      </c>
      <c r="B21" s="36"/>
      <c r="C21" s="36"/>
      <c r="D21" s="36"/>
      <c r="E21" s="36"/>
      <c r="F21" s="36"/>
      <c r="G21" s="36"/>
      <c r="H21" s="36"/>
      <c r="I21" s="36"/>
      <c r="J21" s="36"/>
      <c r="K21" s="36"/>
      <c r="L21" s="36"/>
      <c r="M21" s="36"/>
      <c r="N21" s="36"/>
    </row>
    <row r="23" spans="1:15" x14ac:dyDescent="0.25">
      <c r="A23" s="18" t="s">
        <v>30</v>
      </c>
    </row>
    <row r="24" spans="1:15" x14ac:dyDescent="0.25">
      <c r="A24" s="4" t="s">
        <v>92</v>
      </c>
    </row>
    <row r="25" spans="1:15" x14ac:dyDescent="0.25">
      <c r="A25" t="s">
        <v>32</v>
      </c>
      <c r="B25" s="36"/>
      <c r="C25" s="36"/>
      <c r="D25" s="36"/>
      <c r="E25" s="36"/>
      <c r="F25" s="36"/>
      <c r="G25" s="36"/>
      <c r="H25" s="36"/>
      <c r="I25" s="36"/>
      <c r="J25" s="36"/>
      <c r="K25" s="36"/>
      <c r="L25" s="36"/>
      <c r="M25" s="36"/>
      <c r="N25" s="36"/>
    </row>
    <row r="26" spans="1:15" x14ac:dyDescent="0.25">
      <c r="A26" t="s">
        <v>33</v>
      </c>
      <c r="B26" s="36"/>
      <c r="C26" s="36"/>
      <c r="D26" s="36"/>
      <c r="E26" s="36"/>
      <c r="F26" s="36"/>
      <c r="G26" s="36"/>
      <c r="H26" s="36"/>
      <c r="I26" s="36"/>
      <c r="J26" s="36"/>
      <c r="K26" s="36"/>
      <c r="L26" s="36"/>
      <c r="M26" s="36"/>
      <c r="N26" s="36"/>
    </row>
    <row r="27" spans="1:15" x14ac:dyDescent="0.25">
      <c r="A27" t="s">
        <v>34</v>
      </c>
      <c r="B27" s="36"/>
      <c r="C27" s="36">
        <f>C13*C20</f>
        <v>21774.193548387098</v>
      </c>
      <c r="D27" s="36"/>
      <c r="E27" s="36"/>
      <c r="F27" s="36"/>
      <c r="G27" s="36"/>
      <c r="H27" s="36"/>
      <c r="I27" s="36"/>
      <c r="J27" s="36"/>
      <c r="K27" s="36"/>
      <c r="L27" s="36"/>
      <c r="M27" s="36"/>
      <c r="N27" s="36"/>
    </row>
    <row r="28" spans="1:15" x14ac:dyDescent="0.25">
      <c r="A28" t="s">
        <v>35</v>
      </c>
      <c r="B28" s="20">
        <f t="shared" ref="B28:N28" si="1">SUM(B25:B27)</f>
        <v>0</v>
      </c>
      <c r="C28" s="20">
        <f t="shared" si="1"/>
        <v>21774.193548387098</v>
      </c>
      <c r="D28" s="20">
        <f t="shared" si="1"/>
        <v>0</v>
      </c>
      <c r="E28" s="20">
        <f t="shared" si="1"/>
        <v>0</v>
      </c>
      <c r="F28" s="20">
        <f t="shared" si="1"/>
        <v>0</v>
      </c>
      <c r="G28" s="20">
        <f t="shared" si="1"/>
        <v>0</v>
      </c>
      <c r="H28" s="20">
        <f t="shared" si="1"/>
        <v>0</v>
      </c>
      <c r="I28" s="20">
        <f t="shared" si="1"/>
        <v>0</v>
      </c>
      <c r="J28" s="20">
        <f t="shared" si="1"/>
        <v>0</v>
      </c>
      <c r="K28" s="20">
        <f t="shared" si="1"/>
        <v>0</v>
      </c>
      <c r="L28" s="20">
        <f t="shared" si="1"/>
        <v>0</v>
      </c>
      <c r="M28" s="20">
        <f t="shared" si="1"/>
        <v>0</v>
      </c>
      <c r="N28" s="20">
        <f t="shared" si="1"/>
        <v>0</v>
      </c>
    </row>
    <row r="30" spans="1:15" x14ac:dyDescent="0.25">
      <c r="A30" s="18" t="s">
        <v>36</v>
      </c>
      <c r="B30" s="71" t="s">
        <v>37</v>
      </c>
      <c r="C30" s="71"/>
      <c r="D30" s="71"/>
      <c r="E30" s="71"/>
      <c r="F30" s="71"/>
      <c r="G30" s="71"/>
      <c r="H30" s="71"/>
      <c r="I30" s="71"/>
      <c r="J30" s="71"/>
      <c r="K30" s="71"/>
      <c r="L30" s="71"/>
      <c r="M30" s="71"/>
      <c r="N30" s="71"/>
    </row>
    <row r="31" spans="1:15" x14ac:dyDescent="0.25">
      <c r="A31" t="s">
        <v>38</v>
      </c>
      <c r="B31" s="19">
        <v>45291</v>
      </c>
      <c r="C31" s="19">
        <v>45322</v>
      </c>
      <c r="D31" s="19">
        <v>45351</v>
      </c>
      <c r="E31" s="19">
        <v>45382</v>
      </c>
      <c r="F31" s="19">
        <v>45412</v>
      </c>
      <c r="G31" s="19">
        <v>45443</v>
      </c>
      <c r="H31" s="19">
        <v>45473</v>
      </c>
      <c r="I31" s="19">
        <v>45504</v>
      </c>
      <c r="J31" s="19">
        <v>45535</v>
      </c>
      <c r="K31" s="19">
        <v>45565</v>
      </c>
      <c r="L31" s="19">
        <v>45596</v>
      </c>
      <c r="M31" s="19">
        <v>45626</v>
      </c>
      <c r="N31" s="19">
        <v>45657</v>
      </c>
      <c r="O31" s="21" t="s">
        <v>39</v>
      </c>
    </row>
    <row r="32" spans="1:15" x14ac:dyDescent="0.25">
      <c r="A32" t="s">
        <v>40</v>
      </c>
      <c r="C32" s="6">
        <v>-3.95E-2</v>
      </c>
      <c r="D32" s="6">
        <v>3.32E-2</v>
      </c>
      <c r="E32" s="6">
        <v>3.2399999999999998E-2</v>
      </c>
      <c r="F32" s="6">
        <v>-5.6099999999999997E-2</v>
      </c>
      <c r="G32" s="6">
        <v>5.04E-2</v>
      </c>
      <c r="H32" s="6">
        <v>-2.2800000000000001E-2</v>
      </c>
      <c r="I32" s="6">
        <v>0.108</v>
      </c>
      <c r="J32" s="6">
        <v>-1.44E-2</v>
      </c>
      <c r="K32" s="6">
        <v>8.5000000000000006E-3</v>
      </c>
      <c r="L32" s="6">
        <v>-2.64E-2</v>
      </c>
      <c r="M32" s="6">
        <v>0.1094</v>
      </c>
      <c r="N32" s="6">
        <v>-7.9500000000000001E-2</v>
      </c>
      <c r="O32" s="6">
        <f>FVSCHEDULE(1,C32:N32)-1</f>
        <v>8.6933057537466718E-2</v>
      </c>
    </row>
    <row r="33" spans="1:15" x14ac:dyDescent="0.25">
      <c r="A33" t="s">
        <v>41</v>
      </c>
      <c r="C33" s="6">
        <v>1.6799999999999999E-2</v>
      </c>
      <c r="D33" s="6">
        <v>5.3400000000000003E-2</v>
      </c>
      <c r="E33" s="6">
        <v>3.2199999999999999E-2</v>
      </c>
      <c r="F33" s="6">
        <v>-4.0800000000000003E-2</v>
      </c>
      <c r="G33" s="6">
        <v>4.9599999999999998E-2</v>
      </c>
      <c r="H33" s="6">
        <v>3.5900000000000001E-2</v>
      </c>
      <c r="I33" s="6">
        <v>1.2200000000000001E-2</v>
      </c>
      <c r="J33" s="6">
        <v>2.4299999999999999E-2</v>
      </c>
      <c r="K33" s="6">
        <v>2.1399999999999999E-2</v>
      </c>
      <c r="L33" s="6">
        <v>-9.1000000000000004E-3</v>
      </c>
      <c r="M33" s="6">
        <v>5.8700000000000002E-2</v>
      </c>
      <c r="N33" s="6">
        <v>-2.3800000000000002E-2</v>
      </c>
      <c r="O33" s="6">
        <f>FVSCHEDULE(1,C33:N33)-1</f>
        <v>0.25047333560819185</v>
      </c>
    </row>
    <row r="34" spans="1:15" x14ac:dyDescent="0.25">
      <c r="A34" t="s">
        <v>42</v>
      </c>
      <c r="C34" s="6">
        <v>3.8278997962106764E-2</v>
      </c>
      <c r="D34" s="6">
        <v>-2.7461508892872022E-3</v>
      </c>
      <c r="E34" s="6">
        <v>-1.4128233044790717E-2</v>
      </c>
      <c r="F34" s="6">
        <v>9.2339086929789094E-3</v>
      </c>
      <c r="G34" s="6">
        <v>-2.5258493865635168E-2</v>
      </c>
      <c r="H34" s="6">
        <v>1.695325900383815E-2</v>
      </c>
      <c r="I34" s="6">
        <v>9.4672898494245761E-3</v>
      </c>
      <c r="J34" s="6">
        <v>2.3357014473998516E-2</v>
      </c>
      <c r="K34" s="6">
        <v>1.4369876557483119E-2</v>
      </c>
      <c r="L34" s="6">
        <v>1.3389351508219738E-2</v>
      </c>
      <c r="M34" s="6">
        <v>-2.4798850292510499E-2</v>
      </c>
      <c r="N34" s="6">
        <v>1.0572772440607281E-2</v>
      </c>
      <c r="O34" s="6">
        <f>FVSCHEDULE(1,C34:N34)-1</f>
        <v>6.8750682575209332E-2</v>
      </c>
    </row>
    <row r="35" spans="1:15" x14ac:dyDescent="0.25">
      <c r="C35" s="3"/>
      <c r="D35" s="3"/>
      <c r="E35" s="3"/>
      <c r="F35" s="3"/>
      <c r="G35" s="3"/>
      <c r="H35" s="3"/>
      <c r="I35" s="3"/>
      <c r="J35" s="3"/>
      <c r="K35" s="3"/>
      <c r="L35" s="3"/>
      <c r="M35" s="3"/>
      <c r="N35" s="3"/>
      <c r="O35" s="6"/>
    </row>
    <row r="36" spans="1:15" x14ac:dyDescent="0.25">
      <c r="C36" s="19">
        <v>45322</v>
      </c>
      <c r="D36" s="19">
        <v>45351</v>
      </c>
      <c r="E36" s="19">
        <v>45382</v>
      </c>
      <c r="F36" s="19">
        <v>45412</v>
      </c>
      <c r="G36" s="19">
        <v>45443</v>
      </c>
      <c r="H36" s="19">
        <v>45473</v>
      </c>
      <c r="I36" s="19">
        <v>45504</v>
      </c>
      <c r="J36" s="19">
        <v>45535</v>
      </c>
      <c r="K36" s="19">
        <v>45565</v>
      </c>
      <c r="L36" s="19">
        <v>45596</v>
      </c>
      <c r="M36" s="19">
        <v>45626</v>
      </c>
      <c r="N36" s="19">
        <v>45657</v>
      </c>
      <c r="O36" s="21" t="s">
        <v>39</v>
      </c>
    </row>
    <row r="37" spans="1:15" x14ac:dyDescent="0.25">
      <c r="A37" s="18" t="s">
        <v>43</v>
      </c>
      <c r="C37" s="6">
        <f>(B4+C25)/(B7+C28)*C32+(B5+C26)/(B7+C28)*C33+(B6+C27)/(B7+C28)*C34</f>
        <v>1.0758065532136697E-2</v>
      </c>
      <c r="D37" s="6">
        <f t="shared" ref="D37:N37" si="2">(C4+D25)/(C7+D28)*D32+(C5+D26)/(C7+D28)*D33+(C6+D27)/(C7+D28)*D34</f>
        <v>3.0729437653946427E-2</v>
      </c>
      <c r="E37" s="6">
        <f t="shared" si="2"/>
        <v>1.75929063775211E-2</v>
      </c>
      <c r="F37" s="6">
        <f t="shared" si="2"/>
        <v>-2.8762572230472815E-2</v>
      </c>
      <c r="G37" s="6">
        <f t="shared" si="2"/>
        <v>2.58404850097631E-2</v>
      </c>
      <c r="H37" s="6">
        <f t="shared" si="2"/>
        <v>1.7299251293259224E-2</v>
      </c>
      <c r="I37" s="6">
        <f t="shared" si="2"/>
        <v>3.1571475247166969E-2</v>
      </c>
      <c r="J37" s="6">
        <f t="shared" si="2"/>
        <v>1.5236848518879607E-2</v>
      </c>
      <c r="K37" s="6">
        <f t="shared" si="2"/>
        <v>1.6445198550778126E-2</v>
      </c>
      <c r="L37" s="6">
        <f t="shared" si="2"/>
        <v>-6.1529838259818705E-3</v>
      </c>
      <c r="M37" s="6">
        <f t="shared" si="2"/>
        <v>4.4015258745859001E-2</v>
      </c>
      <c r="N37" s="6">
        <f t="shared" si="2"/>
        <v>-2.6647037827398141E-2</v>
      </c>
      <c r="O37" s="6">
        <f>FVSCHEDULE(1,C37:N37)-1</f>
        <v>0.1552270260194526</v>
      </c>
    </row>
    <row r="38" spans="1:15" x14ac:dyDescent="0.25">
      <c r="A38" s="34" t="s">
        <v>84</v>
      </c>
      <c r="C38" s="6" cm="1">
        <f t="array" ref="C38">SUMPRODUCT((B4:B6+C25:C27)/(B7+C28),C32:C34)</f>
        <v>1.0758065532136697E-2</v>
      </c>
      <c r="D38" s="6" cm="1">
        <f t="array" ref="D38">SUMPRODUCT((C4:C6+D25:D27)/(C7+D28),D32:D34)</f>
        <v>3.0729437653946427E-2</v>
      </c>
      <c r="E38" s="6" cm="1">
        <f t="array" ref="E38">SUMPRODUCT((D4:D6+E25:E27)/(D7+E28),E32:E34)</f>
        <v>1.75929063775211E-2</v>
      </c>
      <c r="F38" s="6" cm="1">
        <f t="array" ref="F38">SUMPRODUCT((E4:E6+F25:F27)/(E7+F28),F32:F34)</f>
        <v>-2.8762572230472815E-2</v>
      </c>
      <c r="G38" s="6" cm="1">
        <f t="array" ref="G38">SUMPRODUCT((F4:F6+G25:G27)/(F7+G28),G32:G34)</f>
        <v>2.58404850097631E-2</v>
      </c>
      <c r="H38" s="6" cm="1">
        <f t="array" ref="H38">SUMPRODUCT((G4:G6+H25:H27)/(G7+H28),H32:H34)</f>
        <v>1.7299251293259224E-2</v>
      </c>
      <c r="I38" s="6" cm="1">
        <f t="array" ref="I38">SUMPRODUCT((H4:H6+I25:I27)/(H7+I28),I32:I34)</f>
        <v>3.1571475247166969E-2</v>
      </c>
      <c r="J38" s="6" cm="1">
        <f t="array" ref="J38">SUMPRODUCT((I4:I6+J25:J27)/(I7+J28),J32:J34)</f>
        <v>1.5236848518879607E-2</v>
      </c>
      <c r="K38" s="6" cm="1">
        <f t="array" ref="K38">SUMPRODUCT((J4:J6+K25:K27)/(J7+K28),K32:K34)</f>
        <v>1.6445198550778126E-2</v>
      </c>
      <c r="L38" s="6" cm="1">
        <f t="array" ref="L38">SUMPRODUCT((K4:K6+L25:L27)/(K7+L28),L32:L34)</f>
        <v>-6.1529838259818705E-3</v>
      </c>
      <c r="M38" s="6" cm="1">
        <f t="array" ref="M38">SUMPRODUCT((L4:L6+M25:M27)/(L7+M28),M32:M34)</f>
        <v>4.4015258745859001E-2</v>
      </c>
      <c r="N38" s="6" cm="1">
        <f t="array" ref="N38">SUMPRODUCT((M4:M6+N25:N27)/(M7+N28),N32:N34)</f>
        <v>-2.6647037827398141E-2</v>
      </c>
      <c r="O38" s="6">
        <f>FVSCHEDULE(1,C38:N38)-1</f>
        <v>0.1552270260194526</v>
      </c>
    </row>
    <row r="40" spans="1:15" x14ac:dyDescent="0.25">
      <c r="A40" s="18" t="s">
        <v>44</v>
      </c>
      <c r="B40" s="71" t="s">
        <v>191</v>
      </c>
      <c r="C40" s="71"/>
      <c r="D40" s="71"/>
      <c r="E40" s="71"/>
      <c r="F40" s="71"/>
      <c r="G40" s="71"/>
      <c r="H40" s="71"/>
      <c r="I40" s="71"/>
      <c r="J40" s="71"/>
      <c r="K40" s="71"/>
      <c r="L40" s="71"/>
      <c r="M40" s="71"/>
      <c r="N40" s="71"/>
    </row>
    <row r="41" spans="1:15" x14ac:dyDescent="0.25">
      <c r="A41" t="s">
        <v>31</v>
      </c>
      <c r="B41" s="19">
        <v>45291</v>
      </c>
      <c r="C41" s="19">
        <v>45322</v>
      </c>
      <c r="D41" s="19">
        <v>45351</v>
      </c>
      <c r="E41" s="19">
        <v>45382</v>
      </c>
      <c r="F41" s="19">
        <v>45412</v>
      </c>
      <c r="G41" s="19">
        <v>45443</v>
      </c>
      <c r="H41" s="19">
        <v>45473</v>
      </c>
      <c r="I41" s="19">
        <v>45504</v>
      </c>
      <c r="J41" s="19">
        <v>45535</v>
      </c>
      <c r="K41" s="19">
        <v>45565</v>
      </c>
      <c r="L41" s="19">
        <v>45596</v>
      </c>
      <c r="M41" s="19">
        <v>45626</v>
      </c>
      <c r="N41" s="19">
        <v>45657</v>
      </c>
    </row>
    <row r="42" spans="1:15" x14ac:dyDescent="0.25">
      <c r="A42" t="s">
        <v>32</v>
      </c>
      <c r="B42" s="14">
        <v>400000</v>
      </c>
      <c r="C42" s="14">
        <v>386000</v>
      </c>
      <c r="D42" s="14">
        <v>406072</v>
      </c>
      <c r="E42" s="14">
        <v>420203.30559999996</v>
      </c>
      <c r="F42" s="14">
        <v>394360.80230559997</v>
      </c>
      <c r="G42" s="14">
        <v>413802.78985926602</v>
      </c>
      <c r="H42" s="14">
        <v>408630.25498602522</v>
      </c>
      <c r="I42" s="14">
        <v>449493.28048462776</v>
      </c>
      <c r="J42" s="14">
        <v>442750.88127735833</v>
      </c>
      <c r="K42" s="14">
        <v>446071.51288693852</v>
      </c>
      <c r="L42" s="14">
        <v>437150.08262919972</v>
      </c>
      <c r="M42" s="14">
        <v>483925.14147052407</v>
      </c>
      <c r="N42" s="14">
        <v>442743.1119313825</v>
      </c>
    </row>
    <row r="43" spans="1:15" x14ac:dyDescent="0.25">
      <c r="A43" t="s">
        <v>33</v>
      </c>
      <c r="B43" s="14">
        <v>700000</v>
      </c>
      <c r="C43" s="14">
        <v>710150</v>
      </c>
      <c r="D43" s="14">
        <v>745657.5</v>
      </c>
      <c r="E43" s="14">
        <v>766908.73875000002</v>
      </c>
      <c r="F43" s="14">
        <v>736462.46182162501</v>
      </c>
      <c r="G43" s="14">
        <v>771076.19752724131</v>
      </c>
      <c r="H43" s="14">
        <v>765538.50927368423</v>
      </c>
      <c r="I43" s="14">
        <v>776256.04840351583</v>
      </c>
      <c r="J43" s="14">
        <v>794653.31675067917</v>
      </c>
      <c r="K43" s="14">
        <v>810149.05642731744</v>
      </c>
      <c r="L43" s="14">
        <v>804478.01303232613</v>
      </c>
      <c r="M43" s="14">
        <v>856849.53168073052</v>
      </c>
      <c r="N43" s="14">
        <v>832857.74479367002</v>
      </c>
    </row>
    <row r="44" spans="1:15" x14ac:dyDescent="0.25">
      <c r="A44" t="s">
        <v>34</v>
      </c>
      <c r="B44" s="14">
        <v>300000</v>
      </c>
      <c r="C44" s="14">
        <v>311490</v>
      </c>
      <c r="D44" s="14">
        <v>312206.42699999997</v>
      </c>
      <c r="E44" s="14">
        <v>308147.74344899994</v>
      </c>
      <c r="F44" s="14">
        <v>310243.14810445311</v>
      </c>
      <c r="G44" s="14">
        <v>302487.06940184179</v>
      </c>
      <c r="H44" s="14">
        <v>308022.58277189551</v>
      </c>
      <c r="I44" s="14">
        <v>311133.61085789168</v>
      </c>
      <c r="J44" s="14">
        <v>318818.61104608158</v>
      </c>
      <c r="K44" s="14">
        <v>328383.16937746404</v>
      </c>
      <c r="L44" s="14">
        <v>319188.44063489506</v>
      </c>
      <c r="M44" s="14">
        <v>323178.29614283121</v>
      </c>
      <c r="N44" s="14">
        <v>318492.21084876015</v>
      </c>
    </row>
    <row r="45" spans="1:15" x14ac:dyDescent="0.25">
      <c r="A45" t="s">
        <v>35</v>
      </c>
      <c r="B45" s="20">
        <f t="shared" ref="B45:N45" si="3">SUM(B42:B44)</f>
        <v>1400000</v>
      </c>
      <c r="C45" s="20">
        <f t="shared" si="3"/>
        <v>1407640</v>
      </c>
      <c r="D45" s="20">
        <f t="shared" si="3"/>
        <v>1463935.9269999999</v>
      </c>
      <c r="E45" s="20">
        <f t="shared" si="3"/>
        <v>1495259.787799</v>
      </c>
      <c r="F45" s="20">
        <f t="shared" si="3"/>
        <v>1441066.4122316781</v>
      </c>
      <c r="G45" s="20">
        <f t="shared" si="3"/>
        <v>1487366.0567883493</v>
      </c>
      <c r="H45" s="20">
        <f t="shared" si="3"/>
        <v>1482191.347031605</v>
      </c>
      <c r="I45" s="20">
        <f t="shared" si="3"/>
        <v>1536882.9397460353</v>
      </c>
      <c r="J45" s="20">
        <f t="shared" si="3"/>
        <v>1556222.8090741192</v>
      </c>
      <c r="K45" s="20">
        <f t="shared" si="3"/>
        <v>1584603.7386917199</v>
      </c>
      <c r="L45" s="20">
        <f t="shared" si="3"/>
        <v>1560816.536296421</v>
      </c>
      <c r="M45" s="20">
        <f t="shared" si="3"/>
        <v>1663952.9692940859</v>
      </c>
      <c r="N45" s="20">
        <f t="shared" si="3"/>
        <v>1594093.0675738126</v>
      </c>
    </row>
    <row r="46" spans="1:15" x14ac:dyDescent="0.25">
      <c r="B46" s="36"/>
      <c r="C46" s="36"/>
      <c r="D46" s="36"/>
      <c r="E46" s="36"/>
      <c r="F46" s="36"/>
      <c r="G46" s="36"/>
      <c r="H46" s="36"/>
      <c r="I46" s="36"/>
      <c r="J46" s="36"/>
      <c r="K46" s="36"/>
      <c r="L46" s="36"/>
      <c r="M46" s="36"/>
      <c r="N46" s="36"/>
    </row>
    <row r="47" spans="1:15" x14ac:dyDescent="0.25">
      <c r="A47" s="18" t="s">
        <v>44</v>
      </c>
      <c r="B47" s="36"/>
      <c r="C47" s="10">
        <v>1.4499999999999957E-2</v>
      </c>
      <c r="D47" s="10">
        <v>5.0000000000000044E-2</v>
      </c>
      <c r="E47" s="10">
        <v>2.849999999999997E-2</v>
      </c>
      <c r="F47" s="10">
        <v>-3.9699999999999958E-2</v>
      </c>
      <c r="G47" s="10">
        <v>4.6999999999999931E-2</v>
      </c>
      <c r="H47" s="10">
        <v>3.2200000000000006E-2</v>
      </c>
      <c r="I47" s="10">
        <v>1.4000000000000012E-2</v>
      </c>
      <c r="J47" s="10">
        <v>2.3700000000000054E-2</v>
      </c>
      <c r="K47" s="10">
        <v>1.9500000000000073E-2</v>
      </c>
      <c r="L47" s="10">
        <v>-7.0000000000001172E-3</v>
      </c>
      <c r="M47" s="10">
        <v>6.5099999999999936E-2</v>
      </c>
      <c r="N47" s="10">
        <v>-2.8000000000000025E-2</v>
      </c>
    </row>
    <row r="48" spans="1:15" x14ac:dyDescent="0.25">
      <c r="A48" s="4" t="s">
        <v>91</v>
      </c>
      <c r="B48" s="36"/>
      <c r="C48" s="36"/>
      <c r="D48" s="36"/>
      <c r="E48" s="36"/>
      <c r="F48" s="36"/>
      <c r="G48" s="36"/>
      <c r="H48" s="36">
        <f>(G43*(1+0.0135)+H50)*1.0187</f>
        <v>765538.50927368423</v>
      </c>
      <c r="I48" s="36">
        <f>H48*(1+I47)</f>
        <v>776256.04840351583</v>
      </c>
      <c r="J48" s="36">
        <f t="shared" ref="J48:N48" si="4">I48*(1+J47)</f>
        <v>794653.31675067917</v>
      </c>
      <c r="K48" s="36">
        <f t="shared" si="4"/>
        <v>810149.05642731744</v>
      </c>
      <c r="L48" s="36">
        <f t="shared" si="4"/>
        <v>804478.01303232613</v>
      </c>
      <c r="M48" s="36">
        <f t="shared" si="4"/>
        <v>856849.53168073052</v>
      </c>
      <c r="N48" s="36">
        <f t="shared" si="4"/>
        <v>832857.74479367002</v>
      </c>
    </row>
    <row r="49" spans="1:14" x14ac:dyDescent="0.25">
      <c r="A49" t="s">
        <v>32</v>
      </c>
      <c r="B49" s="36"/>
      <c r="C49" s="36"/>
      <c r="D49" s="36"/>
      <c r="E49" s="36"/>
      <c r="F49" s="36"/>
      <c r="G49" s="36"/>
      <c r="H49" s="36"/>
      <c r="I49" s="36"/>
      <c r="J49" s="36"/>
      <c r="K49" s="36"/>
      <c r="L49" s="36"/>
      <c r="M49" s="36"/>
      <c r="N49" s="36"/>
    </row>
    <row r="50" spans="1:14" x14ac:dyDescent="0.25">
      <c r="A50" t="s">
        <v>33</v>
      </c>
      <c r="B50" s="36"/>
      <c r="C50" s="36"/>
      <c r="D50" s="36"/>
      <c r="E50" s="36"/>
      <c r="F50" s="36"/>
      <c r="G50" s="36"/>
      <c r="H50" s="36">
        <v>-30000</v>
      </c>
      <c r="I50" s="36"/>
      <c r="J50" s="36"/>
      <c r="K50" s="36"/>
      <c r="L50" s="36"/>
      <c r="M50" s="36"/>
      <c r="N50" s="36"/>
    </row>
    <row r="51" spans="1:14" x14ac:dyDescent="0.25">
      <c r="A51" t="s">
        <v>34</v>
      </c>
      <c r="B51" s="36"/>
      <c r="C51" s="36"/>
      <c r="D51" s="36"/>
      <c r="E51" s="36"/>
      <c r="F51" s="36"/>
      <c r="G51" s="36"/>
      <c r="H51" s="36"/>
      <c r="I51" s="36"/>
      <c r="J51" s="36"/>
      <c r="K51" s="36"/>
      <c r="L51" s="36"/>
      <c r="M51" s="36"/>
      <c r="N51" s="36"/>
    </row>
    <row r="52" spans="1:14" x14ac:dyDescent="0.25">
      <c r="A52" t="s">
        <v>35</v>
      </c>
      <c r="B52" s="36"/>
      <c r="C52" s="36"/>
      <c r="D52" s="36"/>
      <c r="E52" s="36"/>
      <c r="F52" s="36"/>
      <c r="G52" s="36"/>
      <c r="H52" s="36"/>
      <c r="I52" s="36"/>
      <c r="J52" s="36"/>
      <c r="K52" s="36"/>
      <c r="L52" s="36"/>
      <c r="M52" s="36"/>
      <c r="N52" s="36"/>
    </row>
    <row r="53" spans="1:14" x14ac:dyDescent="0.25">
      <c r="B53" s="36"/>
      <c r="C53" s="36"/>
      <c r="D53" s="36"/>
      <c r="E53" s="36"/>
      <c r="F53" s="36"/>
      <c r="G53" s="36"/>
      <c r="H53" s="36"/>
      <c r="I53" s="36"/>
      <c r="J53" s="36"/>
      <c r="K53" s="36"/>
      <c r="L53" s="36"/>
      <c r="M53" s="36"/>
      <c r="N53" s="36"/>
    </row>
    <row r="54" spans="1:14" x14ac:dyDescent="0.25">
      <c r="A54" s="18" t="s">
        <v>44</v>
      </c>
      <c r="B54" s="36"/>
      <c r="C54" s="36"/>
      <c r="D54" s="36"/>
      <c r="E54" s="36"/>
      <c r="F54" s="36"/>
      <c r="G54" s="36"/>
      <c r="H54" s="36"/>
      <c r="I54" s="36"/>
      <c r="J54" s="36"/>
      <c r="K54" s="36"/>
      <c r="L54" s="36"/>
      <c r="M54" s="36"/>
      <c r="N54" s="36"/>
    </row>
    <row r="55" spans="1:14" x14ac:dyDescent="0.25">
      <c r="A55" s="4" t="s">
        <v>90</v>
      </c>
      <c r="B55" s="36"/>
      <c r="C55" s="36"/>
      <c r="D55" s="36"/>
      <c r="E55" s="36"/>
      <c r="F55" s="36"/>
      <c r="G55" s="36"/>
      <c r="H55" s="36"/>
      <c r="I55" s="36"/>
      <c r="J55" s="36"/>
      <c r="K55" s="36"/>
      <c r="L55" s="36"/>
      <c r="M55" s="36"/>
      <c r="N55" s="36"/>
    </row>
    <row r="56" spans="1:14" x14ac:dyDescent="0.25">
      <c r="A56" t="s">
        <v>32</v>
      </c>
      <c r="B56" s="36"/>
      <c r="C56" s="36"/>
      <c r="D56" s="36"/>
      <c r="E56" s="36"/>
      <c r="F56" s="36"/>
      <c r="G56" s="36"/>
      <c r="H56" s="36"/>
      <c r="I56" s="36"/>
      <c r="J56" s="36"/>
      <c r="K56" s="36"/>
      <c r="L56" s="36"/>
      <c r="M56" s="36"/>
      <c r="N56" s="36"/>
    </row>
    <row r="57" spans="1:14" x14ac:dyDescent="0.25">
      <c r="A57" t="s">
        <v>33</v>
      </c>
      <c r="B57" s="36"/>
      <c r="C57" s="36"/>
      <c r="D57" s="36"/>
      <c r="E57" s="36"/>
      <c r="F57" s="36"/>
      <c r="G57" s="36"/>
      <c r="H57" s="37">
        <f>(30-14+1)/30</f>
        <v>0.56666666666666665</v>
      </c>
      <c r="I57" s="36"/>
      <c r="J57" s="36"/>
      <c r="K57" s="36"/>
      <c r="L57" s="36"/>
      <c r="M57" s="36"/>
      <c r="N57" s="36"/>
    </row>
    <row r="58" spans="1:14" x14ac:dyDescent="0.25">
      <c r="A58" t="s">
        <v>34</v>
      </c>
      <c r="B58" s="36"/>
      <c r="C58" s="36"/>
      <c r="D58" s="36"/>
      <c r="E58" s="36"/>
      <c r="F58" s="36"/>
      <c r="G58" s="36"/>
      <c r="H58" s="36"/>
      <c r="I58" s="36"/>
      <c r="J58" s="36"/>
      <c r="K58" s="36"/>
      <c r="L58" s="36"/>
      <c r="M58" s="36"/>
      <c r="N58" s="36"/>
    </row>
    <row r="59" spans="1:14" x14ac:dyDescent="0.25">
      <c r="A59" t="s">
        <v>35</v>
      </c>
      <c r="B59" s="36"/>
      <c r="C59" s="36"/>
      <c r="D59" s="36"/>
      <c r="E59" s="36"/>
      <c r="F59" s="36"/>
      <c r="G59" s="36"/>
      <c r="H59" s="36"/>
      <c r="I59" s="36"/>
      <c r="J59" s="36"/>
      <c r="K59" s="36"/>
      <c r="L59" s="36"/>
      <c r="M59" s="36"/>
      <c r="N59" s="36"/>
    </row>
    <row r="60" spans="1:14" x14ac:dyDescent="0.25">
      <c r="C60" s="36"/>
      <c r="D60" s="36"/>
      <c r="E60" s="36"/>
      <c r="F60" s="36"/>
      <c r="G60" s="36"/>
      <c r="H60" s="36"/>
      <c r="I60" s="36"/>
      <c r="J60" s="36"/>
      <c r="K60" s="36"/>
      <c r="L60" s="36"/>
      <c r="M60" s="36"/>
      <c r="N60" s="36"/>
    </row>
    <row r="61" spans="1:14" x14ac:dyDescent="0.25">
      <c r="A61" s="18" t="s">
        <v>44</v>
      </c>
      <c r="C61" s="36"/>
      <c r="D61" s="36"/>
      <c r="E61" s="36"/>
      <c r="F61" s="36"/>
      <c r="G61" s="36"/>
      <c r="H61" s="36"/>
      <c r="I61" s="36"/>
      <c r="J61" s="36"/>
      <c r="K61" s="36"/>
      <c r="L61" s="36"/>
      <c r="M61" s="36"/>
      <c r="N61" s="36"/>
    </row>
    <row r="62" spans="1:14" x14ac:dyDescent="0.25">
      <c r="A62" s="4" t="s">
        <v>92</v>
      </c>
      <c r="C62" s="36"/>
      <c r="D62" s="36"/>
      <c r="E62" s="36"/>
      <c r="F62" s="36"/>
      <c r="G62" s="36"/>
      <c r="H62" s="36"/>
      <c r="I62" s="36"/>
      <c r="J62" s="36"/>
      <c r="K62" s="36"/>
      <c r="L62" s="36"/>
      <c r="M62" s="36"/>
      <c r="N62" s="36"/>
    </row>
    <row r="63" spans="1:14" x14ac:dyDescent="0.25">
      <c r="A63" t="s">
        <v>32</v>
      </c>
      <c r="B63" s="36"/>
      <c r="C63" s="36"/>
      <c r="D63" s="36"/>
      <c r="E63" s="36"/>
      <c r="F63" s="36"/>
      <c r="G63" s="36"/>
      <c r="H63" s="36"/>
      <c r="I63" s="36"/>
      <c r="J63" s="36"/>
      <c r="K63" s="36"/>
      <c r="L63" s="36"/>
      <c r="M63" s="36"/>
      <c r="N63" s="36"/>
    </row>
    <row r="64" spans="1:14" x14ac:dyDescent="0.25">
      <c r="A64" t="s">
        <v>33</v>
      </c>
      <c r="B64" s="36"/>
      <c r="C64" s="36"/>
      <c r="D64" s="36"/>
      <c r="E64" s="36"/>
      <c r="F64" s="36"/>
      <c r="G64" s="36"/>
      <c r="H64" s="36">
        <f>H50*H57</f>
        <v>-17000</v>
      </c>
      <c r="I64" s="36"/>
      <c r="J64" s="36"/>
      <c r="K64" s="36"/>
      <c r="L64" s="36"/>
      <c r="M64" s="36"/>
      <c r="N64" s="36"/>
    </row>
    <row r="65" spans="1:15" x14ac:dyDescent="0.25">
      <c r="A65" t="s">
        <v>34</v>
      </c>
      <c r="B65" s="36"/>
      <c r="C65" s="36"/>
      <c r="D65" s="36"/>
      <c r="E65" s="36"/>
      <c r="F65" s="36"/>
      <c r="G65" s="36"/>
      <c r="H65" s="36"/>
      <c r="I65" s="36"/>
      <c r="J65" s="36"/>
      <c r="K65" s="36"/>
      <c r="L65" s="36"/>
      <c r="M65" s="36"/>
      <c r="N65" s="36"/>
    </row>
    <row r="66" spans="1:15" x14ac:dyDescent="0.25">
      <c r="A66" t="s">
        <v>35</v>
      </c>
      <c r="B66" s="20">
        <f t="shared" ref="B66:N66" si="5">SUM(B63:B65)</f>
        <v>0</v>
      </c>
      <c r="C66" s="20">
        <f t="shared" si="5"/>
        <v>0</v>
      </c>
      <c r="D66" s="20">
        <f t="shared" si="5"/>
        <v>0</v>
      </c>
      <c r="E66" s="20">
        <f t="shared" si="5"/>
        <v>0</v>
      </c>
      <c r="F66" s="20">
        <f t="shared" si="5"/>
        <v>0</v>
      </c>
      <c r="G66" s="20">
        <f t="shared" si="5"/>
        <v>0</v>
      </c>
      <c r="H66" s="20">
        <f t="shared" si="5"/>
        <v>-17000</v>
      </c>
      <c r="I66" s="20">
        <f t="shared" si="5"/>
        <v>0</v>
      </c>
      <c r="J66" s="20">
        <f t="shared" si="5"/>
        <v>0</v>
      </c>
      <c r="K66" s="20">
        <f t="shared" si="5"/>
        <v>0</v>
      </c>
      <c r="L66" s="20">
        <f t="shared" si="5"/>
        <v>0</v>
      </c>
      <c r="M66" s="20">
        <f t="shared" si="5"/>
        <v>0</v>
      </c>
      <c r="N66" s="20">
        <f t="shared" si="5"/>
        <v>0</v>
      </c>
    </row>
    <row r="67" spans="1:15" x14ac:dyDescent="0.25">
      <c r="B67" s="36"/>
      <c r="C67" s="36"/>
      <c r="D67" s="36"/>
      <c r="E67" s="36"/>
      <c r="F67" s="36"/>
      <c r="G67" s="36"/>
      <c r="H67" s="36"/>
      <c r="I67" s="36"/>
      <c r="J67" s="36"/>
      <c r="K67" s="36"/>
      <c r="L67" s="36"/>
      <c r="M67" s="36"/>
      <c r="N67" s="36"/>
    </row>
    <row r="68" spans="1:15" x14ac:dyDescent="0.25">
      <c r="B68" s="71" t="s">
        <v>45</v>
      </c>
      <c r="C68" s="71"/>
      <c r="D68" s="71"/>
      <c r="E68" s="71"/>
      <c r="F68" s="71"/>
      <c r="G68" s="71"/>
      <c r="H68" s="71"/>
      <c r="I68" s="71"/>
      <c r="J68" s="71"/>
      <c r="K68" s="71"/>
      <c r="L68" s="71"/>
      <c r="M68" s="71"/>
      <c r="N68" s="71"/>
    </row>
    <row r="69" spans="1:15" x14ac:dyDescent="0.25">
      <c r="A69" s="18" t="s">
        <v>46</v>
      </c>
      <c r="B69" s="19">
        <v>45291</v>
      </c>
      <c r="C69" s="19">
        <v>45322</v>
      </c>
      <c r="D69" s="19">
        <v>45351</v>
      </c>
      <c r="E69" s="19">
        <v>45382</v>
      </c>
      <c r="F69" s="19">
        <v>45412</v>
      </c>
      <c r="G69" s="19">
        <v>45443</v>
      </c>
      <c r="H69" s="19">
        <v>45473</v>
      </c>
      <c r="I69" s="19">
        <v>45504</v>
      </c>
      <c r="J69" s="19">
        <v>45535</v>
      </c>
      <c r="K69" s="19">
        <v>45565</v>
      </c>
      <c r="L69" s="19">
        <v>45596</v>
      </c>
      <c r="M69" s="19">
        <v>45626</v>
      </c>
      <c r="N69" s="19">
        <v>45657</v>
      </c>
      <c r="O69" s="22" t="s">
        <v>39</v>
      </c>
    </row>
    <row r="70" spans="1:15" x14ac:dyDescent="0.25">
      <c r="A70" t="s">
        <v>47</v>
      </c>
      <c r="C70" s="6">
        <v>-3.9332632814850998E-2</v>
      </c>
      <c r="D70" s="6">
        <v>5.5203508375527788E-2</v>
      </c>
      <c r="E70" s="6">
        <v>3.3924782464814784E-2</v>
      </c>
      <c r="F70" s="6">
        <v>-7.0904426819797139E-2</v>
      </c>
      <c r="G70" s="6">
        <v>4.8745890136834946E-2</v>
      </c>
      <c r="H70" s="6">
        <v>-1.0839898943544646E-2</v>
      </c>
      <c r="I70" s="6">
        <v>0.10098696580048738</v>
      </c>
      <c r="J70" s="6">
        <v>-1.634523260352716E-2</v>
      </c>
      <c r="K70" s="6">
        <v>5.5644990372603065E-3</v>
      </c>
      <c r="L70" s="6">
        <v>-1.4941905048049819E-2</v>
      </c>
      <c r="M70" s="6">
        <v>0.10838321990303412</v>
      </c>
      <c r="N70" s="6">
        <v>-8.4021636896082996E-2</v>
      </c>
      <c r="O70" s="6">
        <f>FVSCHEDULE(1,C70:N70)-1</f>
        <v>0.10018894266108225</v>
      </c>
    </row>
    <row r="71" spans="1:15" x14ac:dyDescent="0.25">
      <c r="A71" t="s">
        <v>48</v>
      </c>
      <c r="C71" s="6">
        <v>1.3077104960070862E-2</v>
      </c>
      <c r="D71" s="6">
        <v>5.2374803778002743E-2</v>
      </c>
      <c r="E71" s="6">
        <v>3.0888265678432836E-2</v>
      </c>
      <c r="F71" s="6">
        <v>-4.3297674111960394E-2</v>
      </c>
      <c r="G71" s="6">
        <v>4.5561870495769208E-2</v>
      </c>
      <c r="H71" s="6">
        <v>3.1875813025756594E-2</v>
      </c>
      <c r="I71" s="6">
        <v>1.3729392464298273E-2</v>
      </c>
      <c r="J71" s="6">
        <v>2.230159045989355E-2</v>
      </c>
      <c r="K71" s="6">
        <v>2.0219091519529719E-2</v>
      </c>
      <c r="L71" s="6">
        <v>-7.710504728049683E-3</v>
      </c>
      <c r="M71" s="6">
        <v>6.2986852772197066E-2</v>
      </c>
      <c r="N71" s="6">
        <v>-2.9037975751948775E-2</v>
      </c>
      <c r="O71" s="6">
        <f>FVSCHEDULE(1,C71:N71)-1</f>
        <v>0.22840504320898214</v>
      </c>
    </row>
    <row r="72" spans="1:15" x14ac:dyDescent="0.25">
      <c r="A72" t="s">
        <v>49</v>
      </c>
      <c r="C72" s="6">
        <v>3.6656950045921066E-2</v>
      </c>
      <c r="D72" s="6">
        <v>-1.6178113323832566E-3</v>
      </c>
      <c r="E72" s="6">
        <v>-1.4120915158763792E-2</v>
      </c>
      <c r="F72" s="6">
        <v>8.0616757327904853E-3</v>
      </c>
      <c r="G72" s="6">
        <v>-2.4185721495399548E-2</v>
      </c>
      <c r="H72" s="6">
        <v>1.6868236791852231E-2</v>
      </c>
      <c r="I72" s="6">
        <v>9.7026604068857214E-3</v>
      </c>
      <c r="J72" s="6">
        <v>2.3209857408555523E-2</v>
      </c>
      <c r="K72" s="6">
        <v>2.7682054000833123E-2</v>
      </c>
      <c r="L72" s="6">
        <v>-2.4614931092932446E-2</v>
      </c>
      <c r="M72" s="6">
        <v>1.0086890819795968E-2</v>
      </c>
      <c r="N72" s="6">
        <v>-1.5858174065901176E-2</v>
      </c>
      <c r="O72" s="6">
        <f>FVSCHEDULE(1,C72:N72)-1</f>
        <v>5.0712774028670804E-2</v>
      </c>
    </row>
    <row r="73" spans="1:15" x14ac:dyDescent="0.25">
      <c r="C73" s="3"/>
      <c r="D73" s="3"/>
      <c r="E73" s="3"/>
      <c r="F73" s="3"/>
      <c r="G73" s="3"/>
      <c r="H73" s="3"/>
      <c r="I73" s="3"/>
      <c r="J73" s="3"/>
      <c r="K73" s="3"/>
      <c r="L73" s="3"/>
      <c r="M73" s="3"/>
      <c r="N73" s="3"/>
      <c r="O73" s="6"/>
    </row>
    <row r="74" spans="1:15" x14ac:dyDescent="0.25">
      <c r="C74" s="19">
        <v>45322</v>
      </c>
      <c r="D74" s="19">
        <v>45351</v>
      </c>
      <c r="E74" s="19">
        <v>45382</v>
      </c>
      <c r="F74" s="19">
        <v>45412</v>
      </c>
      <c r="G74" s="19">
        <v>45443</v>
      </c>
      <c r="H74" s="19">
        <v>45473</v>
      </c>
      <c r="I74" s="19">
        <v>45504</v>
      </c>
      <c r="J74" s="19">
        <v>45535</v>
      </c>
      <c r="K74" s="19">
        <v>45565</v>
      </c>
      <c r="L74" s="19">
        <v>45596</v>
      </c>
      <c r="M74" s="19">
        <v>45626</v>
      </c>
      <c r="N74" s="19">
        <v>45657</v>
      </c>
      <c r="O74" s="21" t="s">
        <v>39</v>
      </c>
    </row>
    <row r="75" spans="1:15" x14ac:dyDescent="0.25">
      <c r="A75" s="18" t="s">
        <v>50</v>
      </c>
      <c r="C75" s="6">
        <f t="shared" ref="C75:G75" si="6">(B42+C63)/(B45+C66)*C70+(B43+C64)/(B45+C66)*C71+(B44+C65)/(B45+C66)*C72</f>
        <v>3.155718114203945E-3</v>
      </c>
      <c r="D75" s="6">
        <f t="shared" si="6"/>
        <v>4.1202714532109282E-2</v>
      </c>
      <c r="E75" s="6">
        <f t="shared" si="6"/>
        <v>2.2131659019309333E-2</v>
      </c>
      <c r="F75" s="6">
        <f t="shared" si="6"/>
        <v>-4.047153042145607E-2</v>
      </c>
      <c r="G75" s="6">
        <f t="shared" si="6"/>
        <v>3.1417442592358527E-2</v>
      </c>
      <c r="H75" s="6">
        <f>(G42+H63)/(G45+H66)*H70+(G43+H64)/(G45+H66)*H71+(G44+H65)/(G45+H66)*H72</f>
        <v>1.6767004960597381E-2</v>
      </c>
      <c r="I75" s="6">
        <f>(H42+I63)/(H45+I66)*I70+(H43+I64)/(H45+I66)*I71+(H44+I65)/(H45+I66)*I72</f>
        <v>3.6948904642870116E-2</v>
      </c>
      <c r="J75" s="6">
        <f t="shared" ref="J75:N75" si="7">(I42+J63)/(I45+J66)*J70+(I43+J64)/(I45+J66)*J71+(I44+J65)/(I45+J66)*J72</f>
        <v>1.1182399491094229E-2</v>
      </c>
      <c r="K75" s="6">
        <f t="shared" si="7"/>
        <v>1.7578722557098282E-2</v>
      </c>
      <c r="L75" s="6">
        <f t="shared" si="7"/>
        <v>-1.3249334766711626E-2</v>
      </c>
      <c r="M75" s="6">
        <f t="shared" si="7"/>
        <v>6.4883276348091698E-2</v>
      </c>
      <c r="N75" s="6">
        <f t="shared" si="7"/>
        <v>-4.2468974438664278E-2</v>
      </c>
      <c r="O75" s="6">
        <f>FVSCHEDULE(1,C75:N75)-1</f>
        <v>0.1532977145142147</v>
      </c>
    </row>
    <row r="76" spans="1:15" x14ac:dyDescent="0.25">
      <c r="A76" s="34" t="s">
        <v>84</v>
      </c>
      <c r="C76" s="6" cm="1">
        <f t="array" ref="C76">SUMPRODUCT((B42:B44+C63:C65)/(B45+C66),C70:C72)</f>
        <v>3.155718114203945E-3</v>
      </c>
      <c r="D76" s="6" cm="1">
        <f t="array" ref="D76">SUMPRODUCT((C42:C44+D63:D65)/(C45+D66),D70:D72)</f>
        <v>4.1202714532109282E-2</v>
      </c>
      <c r="E76" s="6" cm="1">
        <f t="array" ref="E76">SUMPRODUCT((D42:D44+E63:E65)/(D45+E66),E70:E72)</f>
        <v>2.2131659019309333E-2</v>
      </c>
      <c r="F76" s="6" cm="1">
        <f t="array" ref="F76">SUMPRODUCT((E42:E44+F63:F65)/(E45+F66),F70:F72)</f>
        <v>-4.047153042145607E-2</v>
      </c>
      <c r="G76" s="6" cm="1">
        <f t="array" ref="G76">SUMPRODUCT((F42:F44+G63:G65)/(F45+G66),G70:G72)</f>
        <v>3.1417442592358527E-2</v>
      </c>
      <c r="H76" s="6" cm="1">
        <f t="array" ref="H76">SUMPRODUCT((G42:G44+H63:H65)/(G45+H66),H70:H72)</f>
        <v>1.6767004960597381E-2</v>
      </c>
      <c r="I76" s="6" cm="1">
        <f t="array" ref="I76">SUMPRODUCT((H42:H44+I63:I65)/(H45+I66),I70:I72)</f>
        <v>3.6948904642870116E-2</v>
      </c>
      <c r="J76" s="6" cm="1">
        <f t="array" ref="J76">SUMPRODUCT((I42:I44+J63:J65)/(I45+J66),J70:J72)</f>
        <v>1.1182399491094229E-2</v>
      </c>
      <c r="K76" s="6" cm="1">
        <f t="array" ref="K76">SUMPRODUCT((J42:J44+K63:K65)/(J45+K66),K70:K72)</f>
        <v>1.7578722557098282E-2</v>
      </c>
      <c r="L76" s="6" cm="1">
        <f t="array" ref="L76">SUMPRODUCT((K42:K44+L63:L65)/(K45+L66),L70:L72)</f>
        <v>-1.3249334766711626E-2</v>
      </c>
      <c r="M76" s="6" cm="1">
        <f t="array" ref="M76">SUMPRODUCT((L42:L44+M63:M65)/(L45+M66),M70:M72)</f>
        <v>6.4883276348091698E-2</v>
      </c>
      <c r="N76" s="6" cm="1">
        <f t="array" ref="N76">SUMPRODUCT((M42:M44+N63:N65)/(M45+N66),N70:N72)</f>
        <v>-4.2468974438664278E-2</v>
      </c>
      <c r="O76" s="6">
        <f>FVSCHEDULE(1,C76:N76)-1</f>
        <v>0.1532977145142147</v>
      </c>
    </row>
    <row r="77" spans="1:15" x14ac:dyDescent="0.25">
      <c r="C77" s="6"/>
      <c r="D77" s="6"/>
      <c r="E77" s="6"/>
      <c r="F77" s="6"/>
      <c r="G77" s="6"/>
      <c r="H77" s="6"/>
      <c r="I77" s="6"/>
      <c r="J77" s="6"/>
      <c r="K77" s="6"/>
      <c r="L77" s="6"/>
      <c r="M77" s="6"/>
      <c r="N77" s="6"/>
      <c r="O77" s="6"/>
    </row>
    <row r="78" spans="1:15" x14ac:dyDescent="0.25">
      <c r="A78" s="18" t="s">
        <v>51</v>
      </c>
      <c r="B78" s="19">
        <v>45291</v>
      </c>
      <c r="C78" s="19">
        <v>45322</v>
      </c>
      <c r="D78" s="19">
        <v>45351</v>
      </c>
      <c r="E78" s="19">
        <v>45382</v>
      </c>
      <c r="F78" s="19">
        <v>45412</v>
      </c>
      <c r="G78" s="19">
        <v>45443</v>
      </c>
      <c r="H78" s="19">
        <v>45473</v>
      </c>
      <c r="I78" s="19">
        <v>45504</v>
      </c>
      <c r="J78" s="19">
        <v>45535</v>
      </c>
      <c r="K78" s="19">
        <v>45565</v>
      </c>
      <c r="L78" s="19">
        <v>45596</v>
      </c>
      <c r="M78" s="19">
        <v>45626</v>
      </c>
      <c r="N78" s="19">
        <v>45657</v>
      </c>
      <c r="O78" s="22" t="s">
        <v>39</v>
      </c>
    </row>
    <row r="79" spans="1:15" x14ac:dyDescent="0.25">
      <c r="A79" t="s">
        <v>52</v>
      </c>
      <c r="B79" s="9">
        <f t="shared" ref="B79:N79" si="8">B7+B45</f>
        <v>2475000</v>
      </c>
      <c r="C79" s="9">
        <f t="shared" si="8"/>
        <v>2520738.0750000002</v>
      </c>
      <c r="D79" s="9">
        <f t="shared" si="8"/>
        <v>2611005.9039249998</v>
      </c>
      <c r="E79" s="9">
        <f t="shared" si="8"/>
        <v>2657769.9605239751</v>
      </c>
      <c r="F79" s="9">
        <f t="shared" si="8"/>
        <v>2569957.3688360532</v>
      </c>
      <c r="G79" s="9">
        <f t="shared" si="8"/>
        <v>2646094.5443932358</v>
      </c>
      <c r="H79" s="9">
        <f t="shared" si="8"/>
        <v>2659688.4674136415</v>
      </c>
      <c r="I79" s="9">
        <f t="shared" si="8"/>
        <v>2751716.1681098626</v>
      </c>
      <c r="J79" s="9">
        <f t="shared" si="8"/>
        <v>2788327.8757036012</v>
      </c>
      <c r="K79" s="9">
        <f t="shared" si="8"/>
        <v>2837470.8270629859</v>
      </c>
      <c r="L79" s="9">
        <f t="shared" si="8"/>
        <v>2807948.1872235658</v>
      </c>
      <c r="M79" s="9">
        <f t="shared" si="8"/>
        <v>2966383.2475319495</v>
      </c>
      <c r="N79" s="9">
        <f t="shared" si="8"/>
        <v>2861886.5011644829</v>
      </c>
    </row>
    <row r="80" spans="1:15" x14ac:dyDescent="0.25">
      <c r="A80" t="s">
        <v>53</v>
      </c>
      <c r="C80" s="10">
        <f>(B7+C28)/(B79+C28+C66)*C37+(B45+C66)/(B79+C28+C66)*C75</f>
        <v>6.4952505716937845E-3</v>
      </c>
      <c r="D80" s="10">
        <f t="shared" ref="D80:N80" si="9">(C7+D28)/(C79+D28+D66)*D37+(C45+D66)/(C79+D28+D66)*D75</f>
        <v>3.6577964167268183E-2</v>
      </c>
      <c r="E80" s="10">
        <f t="shared" si="9"/>
        <v>2.0137689231551299E-2</v>
      </c>
      <c r="F80" s="10">
        <f t="shared" si="9"/>
        <v>-3.5350025095108747E-2</v>
      </c>
      <c r="G80" s="10">
        <f t="shared" si="9"/>
        <v>2.8967683286347329E-2</v>
      </c>
      <c r="H80" s="47">
        <f>(G7+H28)/(G79+H28+H66)*H37+(G45+H66)/(G79+H28+H66)*H75</f>
        <v>1.7001583435302194E-2</v>
      </c>
      <c r="I80" s="10">
        <f t="shared" si="9"/>
        <v>3.4568209420073784E-2</v>
      </c>
      <c r="J80" s="10">
        <f t="shared" si="9"/>
        <v>1.2972365861442799E-2</v>
      </c>
      <c r="K80" s="10">
        <f t="shared" si="9"/>
        <v>1.7077841479409099E-2</v>
      </c>
      <c r="L80" s="10">
        <f t="shared" si="9"/>
        <v>-1.0115986414236944E-2</v>
      </c>
      <c r="M80" s="10">
        <f t="shared" si="9"/>
        <v>5.5614884088481573E-2</v>
      </c>
      <c r="N80" s="10">
        <f t="shared" si="9"/>
        <v>-3.5522141348227183E-2</v>
      </c>
      <c r="O80" s="10">
        <f>FVSCHEDULE(1,C80:N80)-1</f>
        <v>0.1541403217877757</v>
      </c>
    </row>
    <row r="81" spans="1:8" x14ac:dyDescent="0.25">
      <c r="C81" s="10"/>
      <c r="D81" s="10"/>
      <c r="H81" s="8"/>
    </row>
    <row r="82" spans="1:8" x14ac:dyDescent="0.25">
      <c r="B82" t="s">
        <v>54</v>
      </c>
      <c r="C82" t="s">
        <v>55</v>
      </c>
      <c r="H82" s="6"/>
    </row>
    <row r="83" spans="1:8" x14ac:dyDescent="0.25">
      <c r="A83" s="4" t="s">
        <v>81</v>
      </c>
      <c r="B83" s="19" t="s">
        <v>56</v>
      </c>
      <c r="C83" s="19" t="s">
        <v>56</v>
      </c>
      <c r="G83" s="9"/>
    </row>
    <row r="84" spans="1:8" x14ac:dyDescent="0.25">
      <c r="A84" t="s">
        <v>40</v>
      </c>
      <c r="B84" s="9">
        <f>N4</f>
        <v>271879.41818105883</v>
      </c>
      <c r="C84" s="23">
        <f>B84/$B$90</f>
        <v>9.5000070083293961E-2</v>
      </c>
    </row>
    <row r="85" spans="1:8" x14ac:dyDescent="0.25">
      <c r="A85" t="s">
        <v>41</v>
      </c>
      <c r="B85" s="9">
        <f>N5</f>
        <v>620642.84237210313</v>
      </c>
      <c r="C85" s="23">
        <f t="shared" ref="C85:C89" si="10">B85/$B$90</f>
        <v>0.21686493930474449</v>
      </c>
    </row>
    <row r="86" spans="1:8" x14ac:dyDescent="0.25">
      <c r="A86" t="s">
        <v>42</v>
      </c>
      <c r="B86" s="9">
        <f>N6</f>
        <v>375271.17303750815</v>
      </c>
      <c r="C86" s="23">
        <f t="shared" si="10"/>
        <v>0.13112720329223845</v>
      </c>
    </row>
    <row r="87" spans="1:8" x14ac:dyDescent="0.25">
      <c r="A87" t="s">
        <v>47</v>
      </c>
      <c r="B87" s="9">
        <f>N42</f>
        <v>442743.1119313825</v>
      </c>
      <c r="C87" s="23">
        <f t="shared" si="10"/>
        <v>0.15470323919248133</v>
      </c>
    </row>
    <row r="88" spans="1:8" x14ac:dyDescent="0.25">
      <c r="A88" t="s">
        <v>48</v>
      </c>
      <c r="B88" s="9">
        <f t="shared" ref="B88:B89" si="11">N43</f>
        <v>832857.74479367002</v>
      </c>
      <c r="C88" s="23">
        <f t="shared" si="10"/>
        <v>0.29101704223937103</v>
      </c>
    </row>
    <row r="89" spans="1:8" x14ac:dyDescent="0.25">
      <c r="A89" t="s">
        <v>49</v>
      </c>
      <c r="B89" s="9">
        <f t="shared" si="11"/>
        <v>318492.21084876015</v>
      </c>
      <c r="C89" s="23">
        <f t="shared" si="10"/>
        <v>0.11128750588787073</v>
      </c>
    </row>
    <row r="90" spans="1:8" x14ac:dyDescent="0.25">
      <c r="B90" s="24">
        <f>SUM(B84:B89)</f>
        <v>2861886.5011644829</v>
      </c>
      <c r="C90" s="25">
        <f>SUM(C84:C89)</f>
        <v>0.99999999999999989</v>
      </c>
    </row>
    <row r="92" spans="1:8" x14ac:dyDescent="0.25">
      <c r="A92" s="18" t="s">
        <v>113</v>
      </c>
    </row>
    <row r="93" spans="1:8" x14ac:dyDescent="0.25">
      <c r="A93" t="s">
        <v>153</v>
      </c>
    </row>
    <row r="94" spans="1:8" x14ac:dyDescent="0.25">
      <c r="A94" t="s">
        <v>116</v>
      </c>
    </row>
    <row r="95" spans="1:8" x14ac:dyDescent="0.25">
      <c r="A95" t="s">
        <v>117</v>
      </c>
    </row>
    <row r="98" spans="2:5" x14ac:dyDescent="0.25">
      <c r="B98" s="14"/>
      <c r="D98" s="6"/>
    </row>
    <row r="99" spans="2:5" x14ac:dyDescent="0.25">
      <c r="B99" s="14"/>
      <c r="D99" s="6"/>
    </row>
    <row r="100" spans="2:5" x14ac:dyDescent="0.25">
      <c r="B100" s="14"/>
      <c r="E100" s="6"/>
    </row>
  </sheetData>
  <mergeCells count="4">
    <mergeCell ref="B2:N2"/>
    <mergeCell ref="B30:N30"/>
    <mergeCell ref="B40:N40"/>
    <mergeCell ref="B68:N68"/>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635E6-4B80-4D5C-91AC-8935861A4A73}">
  <sheetPr>
    <tabColor rgb="FF00B050"/>
  </sheetPr>
  <dimension ref="A1:O33"/>
  <sheetViews>
    <sheetView tabSelected="1" workbookViewId="0"/>
  </sheetViews>
  <sheetFormatPr defaultRowHeight="15" x14ac:dyDescent="0.25"/>
  <cols>
    <col min="1" max="2" width="19" customWidth="1"/>
    <col min="3" max="3" width="13.5703125" bestFit="1" customWidth="1"/>
    <col min="5" max="5" width="11.5703125" customWidth="1"/>
    <col min="7" max="7" width="18.140625" bestFit="1" customWidth="1"/>
    <col min="8" max="8" width="18.140625" customWidth="1"/>
    <col min="11" max="11" width="11.42578125" customWidth="1"/>
    <col min="13" max="13" width="14.5703125" customWidth="1"/>
    <col min="14" max="14" width="13.42578125" customWidth="1"/>
  </cols>
  <sheetData>
    <row r="1" spans="1:15" x14ac:dyDescent="0.25">
      <c r="A1" s="18" t="s">
        <v>197</v>
      </c>
    </row>
    <row r="2" spans="1:15" x14ac:dyDescent="0.25">
      <c r="A2" s="72" t="s">
        <v>30</v>
      </c>
      <c r="B2" s="72"/>
      <c r="C2" s="72"/>
      <c r="D2" s="72"/>
      <c r="E2" s="72"/>
      <c r="G2" s="72" t="s">
        <v>44</v>
      </c>
      <c r="H2" s="72"/>
      <c r="I2" s="72"/>
      <c r="J2" s="72"/>
      <c r="K2" s="72"/>
      <c r="L2" s="46"/>
    </row>
    <row r="3" spans="1:15" ht="75" x14ac:dyDescent="0.25">
      <c r="B3" s="13" t="s">
        <v>176</v>
      </c>
      <c r="C3" s="13" t="s">
        <v>40</v>
      </c>
      <c r="D3" s="13" t="s">
        <v>41</v>
      </c>
      <c r="E3" s="58" t="s">
        <v>107</v>
      </c>
      <c r="H3" s="13" t="s">
        <v>176</v>
      </c>
      <c r="I3" s="13" t="s">
        <v>108</v>
      </c>
      <c r="J3" s="13" t="s">
        <v>109</v>
      </c>
      <c r="K3" s="58" t="s">
        <v>58</v>
      </c>
      <c r="L3" s="13"/>
      <c r="M3" s="13" t="s">
        <v>177</v>
      </c>
      <c r="N3" s="58" t="s">
        <v>110</v>
      </c>
    </row>
    <row r="4" spans="1:15" x14ac:dyDescent="0.25">
      <c r="A4" t="s">
        <v>82</v>
      </c>
      <c r="C4" s="7">
        <v>0.7</v>
      </c>
      <c r="D4" s="7">
        <v>0.3</v>
      </c>
      <c r="G4" t="s">
        <v>82</v>
      </c>
      <c r="I4" s="7">
        <v>0.6</v>
      </c>
      <c r="J4" s="7">
        <v>0.4</v>
      </c>
    </row>
    <row r="5" spans="1:15" x14ac:dyDescent="0.25">
      <c r="A5" s="2">
        <v>45322</v>
      </c>
      <c r="B5" s="14">
        <v>2785300</v>
      </c>
      <c r="C5" s="6">
        <v>-3.95E-2</v>
      </c>
      <c r="D5" s="6">
        <v>1.6799999999999999E-2</v>
      </c>
      <c r="E5" s="8">
        <f>C5*$C$4+D5*$D$4</f>
        <v>-2.2609999999999998E-2</v>
      </c>
      <c r="G5" s="2">
        <v>45322</v>
      </c>
      <c r="H5" s="14">
        <v>3512593</v>
      </c>
      <c r="I5" s="6">
        <v>-3.9332632814850998E-2</v>
      </c>
      <c r="J5" s="6">
        <v>1.3080918638974426E-2</v>
      </c>
      <c r="K5" s="8">
        <f>I5*$I$4+J5*$J$4</f>
        <v>-1.8367212233320829E-2</v>
      </c>
      <c r="L5" s="8"/>
      <c r="M5" s="9">
        <f>B5+H5</f>
        <v>6297893</v>
      </c>
      <c r="N5" s="6">
        <f>B5/M5*E5+H5/M5*K5</f>
        <v>-2.0243623402346964E-2</v>
      </c>
      <c r="O5" s="6"/>
    </row>
    <row r="6" spans="1:15" x14ac:dyDescent="0.25">
      <c r="A6" s="2">
        <v>45351</v>
      </c>
      <c r="B6" s="14">
        <v>2894651</v>
      </c>
      <c r="C6" s="6">
        <v>3.32E-2</v>
      </c>
      <c r="D6" s="6">
        <v>5.3400000000000003E-2</v>
      </c>
      <c r="E6" s="8">
        <f t="shared" ref="E6:E16" si="0">C6*$C$4+D6*$D$4</f>
        <v>3.9260000000000003E-2</v>
      </c>
      <c r="G6" s="2">
        <v>45351</v>
      </c>
      <c r="H6" s="14">
        <v>3696550</v>
      </c>
      <c r="I6" s="6">
        <v>5.5203508375527788E-2</v>
      </c>
      <c r="J6" s="6">
        <v>5.2370842179759292E-2</v>
      </c>
      <c r="K6" s="8">
        <f t="shared" ref="K6:K16" si="1">I6*$I$4+J6*$J$4</f>
        <v>5.4070441897220392E-2</v>
      </c>
      <c r="L6" s="8"/>
      <c r="M6" s="9">
        <f t="shared" ref="M6:M16" si="2">B6+H6</f>
        <v>6591201</v>
      </c>
      <c r="N6" s="6">
        <f t="shared" ref="N6:N16" si="3">B6/M6*E6+H6/M6*K6</f>
        <v>4.7566155281134656E-2</v>
      </c>
      <c r="O6" s="6"/>
    </row>
    <row r="7" spans="1:15" x14ac:dyDescent="0.25">
      <c r="A7" s="2">
        <v>45382</v>
      </c>
      <c r="B7" s="14">
        <v>2988264</v>
      </c>
      <c r="C7" s="6">
        <v>3.2399999999999998E-2</v>
      </c>
      <c r="D7" s="6">
        <v>3.2199999999999999E-2</v>
      </c>
      <c r="E7" s="8">
        <f t="shared" si="0"/>
        <v>3.2340000000000001E-2</v>
      </c>
      <c r="G7" s="2">
        <v>45382</v>
      </c>
      <c r="H7" s="14">
        <v>3810730</v>
      </c>
      <c r="I7" s="6">
        <v>3.3924782464814784E-2</v>
      </c>
      <c r="J7" s="6">
        <v>3.0888265678432836E-2</v>
      </c>
      <c r="K7" s="8">
        <f t="shared" si="1"/>
        <v>3.2710175750262006E-2</v>
      </c>
      <c r="L7" s="8"/>
      <c r="M7" s="9">
        <f t="shared" si="2"/>
        <v>6798994</v>
      </c>
      <c r="N7" s="6">
        <f t="shared" si="3"/>
        <v>3.2547477729322302E-2</v>
      </c>
      <c r="O7" s="6"/>
    </row>
    <row r="8" spans="1:15" x14ac:dyDescent="0.25">
      <c r="A8" s="2">
        <v>45412</v>
      </c>
      <c r="B8" s="14">
        <v>2834338</v>
      </c>
      <c r="C8" s="6">
        <v>-5.6099999999999997E-2</v>
      </c>
      <c r="D8" s="6">
        <v>-4.0800000000000003E-2</v>
      </c>
      <c r="E8" s="8">
        <f t="shared" si="0"/>
        <v>-5.1509999999999993E-2</v>
      </c>
      <c r="G8" s="2">
        <v>45412</v>
      </c>
      <c r="H8" s="14">
        <v>3645748</v>
      </c>
      <c r="I8" s="6">
        <v>-7.0904426819797139E-2</v>
      </c>
      <c r="J8" s="6">
        <v>-4.329420419097052E-2</v>
      </c>
      <c r="K8" s="8">
        <f t="shared" si="1"/>
        <v>-5.9860337768266492E-2</v>
      </c>
      <c r="L8" s="8"/>
      <c r="M8" s="9">
        <f t="shared" si="2"/>
        <v>6480086</v>
      </c>
      <c r="N8" s="6">
        <f t="shared" si="3"/>
        <v>-5.6207966542107926E-2</v>
      </c>
      <c r="O8" s="6"/>
    </row>
    <row r="9" spans="1:15" x14ac:dyDescent="0.25">
      <c r="A9" s="2">
        <v>45443</v>
      </c>
      <c r="B9" s="14">
        <v>2976509</v>
      </c>
      <c r="C9" s="6">
        <v>5.04E-2</v>
      </c>
      <c r="D9" s="6">
        <v>4.9599999999999998E-2</v>
      </c>
      <c r="E9" s="8">
        <f t="shared" si="0"/>
        <v>5.0159999999999996E-2</v>
      </c>
      <c r="G9" s="2">
        <v>45443</v>
      </c>
      <c r="H9" s="14">
        <v>3811841</v>
      </c>
      <c r="I9" s="6">
        <v>4.8745890136834946E-2</v>
      </c>
      <c r="J9" s="6">
        <v>4.5558078298526761E-2</v>
      </c>
      <c r="K9" s="8">
        <f t="shared" si="1"/>
        <v>4.7470765401511669E-2</v>
      </c>
      <c r="L9" s="8"/>
      <c r="M9" s="9">
        <f t="shared" si="2"/>
        <v>6788350</v>
      </c>
      <c r="N9" s="6">
        <f t="shared" si="3"/>
        <v>4.8649922484677963E-2</v>
      </c>
      <c r="O9" s="6"/>
    </row>
    <row r="10" spans="1:15" x14ac:dyDescent="0.25">
      <c r="A10" s="2">
        <v>45473</v>
      </c>
      <c r="B10" s="14">
        <v>2961061</v>
      </c>
      <c r="C10" s="6">
        <v>-2.2800000000000001E-2</v>
      </c>
      <c r="D10" s="6">
        <v>3.5900000000000001E-2</v>
      </c>
      <c r="E10" s="8">
        <f t="shared" si="0"/>
        <v>-5.1899999999999984E-3</v>
      </c>
      <c r="G10" s="2">
        <v>45473</v>
      </c>
      <c r="H10" s="14">
        <v>3933347</v>
      </c>
      <c r="I10" s="6">
        <v>-1.0839898943544646E-2</v>
      </c>
      <c r="J10" s="6">
        <v>3.1875813025756594E-2</v>
      </c>
      <c r="K10" s="8">
        <f t="shared" si="1"/>
        <v>6.2463858441758509E-3</v>
      </c>
      <c r="L10" s="8"/>
      <c r="M10" s="9">
        <f t="shared" si="2"/>
        <v>6894408</v>
      </c>
      <c r="N10" s="6">
        <f t="shared" si="3"/>
        <v>1.3346028304433901E-3</v>
      </c>
      <c r="O10" s="6"/>
    </row>
    <row r="11" spans="1:15" x14ac:dyDescent="0.25">
      <c r="A11" s="2">
        <v>45504</v>
      </c>
      <c r="B11" s="14">
        <v>3195754</v>
      </c>
      <c r="C11" s="6">
        <v>0.108</v>
      </c>
      <c r="D11" s="6">
        <v>1.2200000000000001E-2</v>
      </c>
      <c r="E11" s="8">
        <f t="shared" si="0"/>
        <v>7.9259999999999997E-2</v>
      </c>
      <c r="G11" s="2">
        <v>45504</v>
      </c>
      <c r="H11" s="14">
        <v>3987349</v>
      </c>
      <c r="I11" s="6">
        <v>0.10098696580048738</v>
      </c>
      <c r="J11" s="6">
        <v>1.3729392464298273E-2</v>
      </c>
      <c r="K11" s="8">
        <f t="shared" si="1"/>
        <v>6.6083936466011739E-2</v>
      </c>
      <c r="L11" s="8"/>
      <c r="M11" s="9">
        <f t="shared" si="2"/>
        <v>7183103</v>
      </c>
      <c r="N11" s="6">
        <f t="shared" si="3"/>
        <v>7.1945951495309954E-2</v>
      </c>
      <c r="O11" s="6"/>
    </row>
    <row r="12" spans="1:15" x14ac:dyDescent="0.25">
      <c r="A12" s="2">
        <v>45535</v>
      </c>
      <c r="B12" s="14">
        <v>3186838</v>
      </c>
      <c r="C12" s="6">
        <v>-1.44E-2</v>
      </c>
      <c r="D12" s="6">
        <v>2.4299999999999999E-2</v>
      </c>
      <c r="E12" s="8">
        <f t="shared" si="0"/>
        <v>-2.7899999999999991E-3</v>
      </c>
      <c r="G12" s="2">
        <v>45535</v>
      </c>
      <c r="H12" s="14">
        <v>4076273</v>
      </c>
      <c r="I12" s="6">
        <v>-1.634523260352716E-2</v>
      </c>
      <c r="J12" s="6">
        <v>2.230159045989355E-2</v>
      </c>
      <c r="K12" s="8">
        <f t="shared" si="1"/>
        <v>-8.8650337815887603E-4</v>
      </c>
      <c r="L12" s="8"/>
      <c r="M12" s="9">
        <f t="shared" si="2"/>
        <v>7263111</v>
      </c>
      <c r="N12" s="6">
        <f t="shared" si="3"/>
        <v>-1.7217013212104033E-3</v>
      </c>
      <c r="O12" s="6"/>
    </row>
    <row r="13" spans="1:15" x14ac:dyDescent="0.25">
      <c r="A13" s="2">
        <v>45565</v>
      </c>
      <c r="B13" s="14">
        <v>3226259</v>
      </c>
      <c r="C13" s="6">
        <v>8.5000000000000006E-3</v>
      </c>
      <c r="D13" s="6">
        <v>2.1399999999999999E-2</v>
      </c>
      <c r="E13" s="8">
        <f t="shared" si="0"/>
        <v>1.2369999999999999E-2</v>
      </c>
      <c r="G13" s="2">
        <v>45565</v>
      </c>
      <c r="H13" s="14">
        <v>4158692</v>
      </c>
      <c r="I13" s="6">
        <v>5.5644990372603065E-3</v>
      </c>
      <c r="J13" s="6">
        <v>2.0219091519529719E-2</v>
      </c>
      <c r="K13" s="8">
        <f t="shared" si="1"/>
        <v>1.1426336030168072E-2</v>
      </c>
      <c r="L13" s="8"/>
      <c r="M13" s="9">
        <f t="shared" si="2"/>
        <v>7384951</v>
      </c>
      <c r="N13" s="6">
        <f t="shared" si="3"/>
        <v>1.183859392810754E-2</v>
      </c>
      <c r="O13" s="6"/>
    </row>
    <row r="14" spans="1:15" x14ac:dyDescent="0.25">
      <c r="A14" s="2">
        <v>45596</v>
      </c>
      <c r="B14" s="14">
        <v>3157830</v>
      </c>
      <c r="C14" s="6">
        <v>-2.64E-2</v>
      </c>
      <c r="D14" s="6">
        <v>-9.1000000000000004E-3</v>
      </c>
      <c r="E14" s="8">
        <f t="shared" si="0"/>
        <v>-2.121E-2</v>
      </c>
      <c r="G14" s="2">
        <v>45596</v>
      </c>
      <c r="H14" s="14">
        <v>4126626</v>
      </c>
      <c r="I14" s="6">
        <v>-1.4941905048049819E-2</v>
      </c>
      <c r="J14" s="6">
        <v>-7.710504728049683E-3</v>
      </c>
      <c r="K14" s="8">
        <f t="shared" si="1"/>
        <v>-1.2049344920049766E-2</v>
      </c>
      <c r="L14" s="8"/>
      <c r="M14" s="9">
        <f t="shared" si="2"/>
        <v>7284456</v>
      </c>
      <c r="N14" s="6">
        <f t="shared" si="3"/>
        <v>-1.6020511940774338E-2</v>
      </c>
      <c r="O14" s="6"/>
    </row>
    <row r="15" spans="1:15" x14ac:dyDescent="0.25">
      <c r="A15" s="2">
        <v>45626</v>
      </c>
      <c r="B15" s="14">
        <v>3455267</v>
      </c>
      <c r="C15" s="6">
        <v>0.1094</v>
      </c>
      <c r="D15" s="6">
        <v>5.8700000000000002E-2</v>
      </c>
      <c r="E15" s="8">
        <f t="shared" si="0"/>
        <v>9.4189999999999996E-2</v>
      </c>
      <c r="G15" s="2">
        <v>45626</v>
      </c>
      <c r="H15" s="14">
        <v>4386550</v>
      </c>
      <c r="I15" s="6">
        <v>0.10838321990303412</v>
      </c>
      <c r="J15" s="6">
        <v>6.2986852772197066E-2</v>
      </c>
      <c r="K15" s="8">
        <f t="shared" si="1"/>
        <v>9.0224673050699297E-2</v>
      </c>
      <c r="L15" s="8"/>
      <c r="M15" s="9">
        <f t="shared" si="2"/>
        <v>7841817</v>
      </c>
      <c r="N15" s="6">
        <f t="shared" si="3"/>
        <v>9.1971878239513249E-2</v>
      </c>
      <c r="O15" s="6"/>
    </row>
    <row r="16" spans="1:15" x14ac:dyDescent="0.25">
      <c r="A16" s="2">
        <v>45657</v>
      </c>
      <c r="B16" s="14">
        <v>3238310</v>
      </c>
      <c r="C16" s="6">
        <v>-7.9500000000000001E-2</v>
      </c>
      <c r="D16" s="6">
        <v>-2.3800000000000002E-2</v>
      </c>
      <c r="E16" s="8">
        <f t="shared" si="0"/>
        <v>-6.2789999999999999E-2</v>
      </c>
      <c r="G16" s="2">
        <v>45657</v>
      </c>
      <c r="H16" s="14">
        <v>4259173</v>
      </c>
      <c r="I16" s="6">
        <v>-8.4021636896082996E-2</v>
      </c>
      <c r="J16" s="6">
        <v>-2.9037975751948775E-2</v>
      </c>
      <c r="K16" s="8">
        <f t="shared" si="1"/>
        <v>-6.2028172438429306E-2</v>
      </c>
      <c r="L16" s="8"/>
      <c r="M16" s="9">
        <f t="shared" si="2"/>
        <v>7497483</v>
      </c>
      <c r="N16" s="6">
        <f t="shared" si="3"/>
        <v>-6.2357220708483409E-2</v>
      </c>
      <c r="O16" s="6"/>
    </row>
    <row r="17" spans="1:14" x14ac:dyDescent="0.25">
      <c r="A17" s="2" t="s">
        <v>59</v>
      </c>
      <c r="B17" s="14"/>
      <c r="C17" s="26">
        <f>FVSCHEDULE(1,C5:C16)-1</f>
        <v>8.6933057537466718E-2</v>
      </c>
      <c r="D17" s="26">
        <f>FVSCHEDULE(1,D5:D16)-1</f>
        <v>0.25047333560819185</v>
      </c>
      <c r="E17" s="26">
        <f>FVSCHEDULE(1,E5:E16)-1</f>
        <v>0.13635592767968086</v>
      </c>
      <c r="G17" s="2" t="s">
        <v>59</v>
      </c>
      <c r="H17" s="14"/>
      <c r="I17" s="26">
        <f>FVSCHEDULE(1,I5:I16)-1</f>
        <v>0.10018894266108225</v>
      </c>
      <c r="J17" s="26">
        <f>FVSCHEDULE(1,J5:J16)-1</f>
        <v>0.22840504320898214</v>
      </c>
      <c r="K17" s="26">
        <f>FVSCHEDULE(1,K5:K16)-1</f>
        <v>0.15243729363305158</v>
      </c>
      <c r="L17" s="10"/>
      <c r="M17" s="9"/>
      <c r="N17" s="26">
        <f>FVSCHEDULE(1,N5:N16)-1</f>
        <v>0.14568788291771395</v>
      </c>
    </row>
    <row r="19" spans="1:14" x14ac:dyDescent="0.25">
      <c r="A19" s="18" t="s">
        <v>113</v>
      </c>
    </row>
    <row r="20" spans="1:14" x14ac:dyDescent="0.25">
      <c r="A20" t="s">
        <v>178</v>
      </c>
    </row>
    <row r="21" spans="1:14" x14ac:dyDescent="0.25">
      <c r="A21" t="s">
        <v>111</v>
      </c>
    </row>
    <row r="22" spans="1:14" x14ac:dyDescent="0.25">
      <c r="A22" t="s">
        <v>118</v>
      </c>
    </row>
    <row r="24" spans="1:14" x14ac:dyDescent="0.25">
      <c r="A24" t="s">
        <v>114</v>
      </c>
    </row>
    <row r="26" spans="1:14" ht="30" x14ac:dyDescent="0.25">
      <c r="A26" s="4" t="s">
        <v>112</v>
      </c>
      <c r="B26" s="57" t="s">
        <v>151</v>
      </c>
      <c r="C26" s="19" t="s">
        <v>121</v>
      </c>
    </row>
    <row r="27" spans="1:14" ht="30" x14ac:dyDescent="0.25">
      <c r="A27" s="13" t="s">
        <v>40</v>
      </c>
      <c r="B27" s="14">
        <v>2086605</v>
      </c>
      <c r="C27" s="23">
        <f>B27/$B$31</f>
        <v>0.29681605585238036</v>
      </c>
      <c r="H27" s="23"/>
    </row>
    <row r="28" spans="1:14" ht="30" x14ac:dyDescent="0.25">
      <c r="A28" s="13" t="s">
        <v>41</v>
      </c>
      <c r="B28" s="14">
        <v>948371</v>
      </c>
      <c r="C28" s="23">
        <f t="shared" ref="C28:C30" si="4">B28/$B$31</f>
        <v>0.13490418153161612</v>
      </c>
      <c r="H28" s="23"/>
    </row>
    <row r="29" spans="1:14" ht="30" x14ac:dyDescent="0.25">
      <c r="A29" s="13" t="s">
        <v>108</v>
      </c>
      <c r="B29" s="14">
        <v>2340786</v>
      </c>
      <c r="C29" s="23">
        <f t="shared" si="4"/>
        <v>0.33297287609033338</v>
      </c>
      <c r="H29" s="23"/>
    </row>
    <row r="30" spans="1:14" ht="30" x14ac:dyDescent="0.25">
      <c r="A30" s="13" t="s">
        <v>109</v>
      </c>
      <c r="B30" s="14">
        <v>1654198</v>
      </c>
      <c r="C30" s="23">
        <f t="shared" si="4"/>
        <v>0.23530688652567014</v>
      </c>
      <c r="H30" s="23"/>
    </row>
    <row r="31" spans="1:14" x14ac:dyDescent="0.25">
      <c r="A31" s="13" t="s">
        <v>120</v>
      </c>
      <c r="B31" s="24">
        <f>SUM(B27:B30)</f>
        <v>7029960</v>
      </c>
      <c r="C31" s="50">
        <f>SUM(C27:C30)</f>
        <v>0.99999999999999989</v>
      </c>
    </row>
    <row r="32" spans="1:14" x14ac:dyDescent="0.25">
      <c r="B32" s="23"/>
    </row>
    <row r="33" spans="2:2" x14ac:dyDescent="0.25">
      <c r="B33" s="23"/>
    </row>
  </sheetData>
  <mergeCells count="2">
    <mergeCell ref="A2:E2"/>
    <mergeCell ref="G2:K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PLEASE READ</vt:lpstr>
      <vt:lpstr>Benchmark Notes</vt:lpstr>
      <vt:lpstr>PME BM Description Notes</vt:lpstr>
      <vt:lpstr>PME Calcs</vt:lpstr>
      <vt:lpstr>Other BM Description Notes</vt:lpstr>
      <vt:lpstr>Index Value Converted to Return</vt:lpstr>
      <vt:lpstr>Portfolio-Weighted Benchmark</vt:lpstr>
      <vt:lpstr>Port. Wtd Benchmark with CFs</vt:lpstr>
      <vt:lpstr>Port. Wtd w_Diff Blended Alloc.</vt:lpstr>
      <vt:lpstr>Blended Monthly Weighted BM</vt:lpstr>
      <vt:lpstr>Blended Qtrly Weighted BM</vt:lpstr>
      <vt:lpstr>Benchmark Change</vt:lpstr>
      <vt:lpstr>Benchmark - Net of Mgt Fees</vt:lpstr>
      <vt:lpstr>Leveraged BM Return</vt:lpstr>
      <vt:lpstr>Cash Return Benchmark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Terris</dc:creator>
  <cp:lastModifiedBy>David Terris</cp:lastModifiedBy>
  <dcterms:created xsi:type="dcterms:W3CDTF">2024-12-18T22:49:17Z</dcterms:created>
  <dcterms:modified xsi:type="dcterms:W3CDTF">2025-10-22T15:47:56Z</dcterms:modified>
</cp:coreProperties>
</file>